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SU CAPITAL CASA DE BOLSA S.A\BALANCES ASU\"/>
    </mc:Choice>
  </mc:AlternateContent>
  <bookViews>
    <workbookView xWindow="0" yWindow="0" windowWidth="20490" windowHeight="7650" firstSheet="1" activeTab="1"/>
  </bookViews>
  <sheets>
    <sheet name="CARATULA " sheetId="16" r:id="rId1"/>
    <sheet name="Información General" sheetId="1" r:id="rId2"/>
    <sheet name="Balance General" sheetId="3" r:id="rId3"/>
    <sheet name="Estado de Resultados" sheetId="4" r:id="rId4"/>
    <sheet name="Variación PN" sheetId="15" r:id="rId5"/>
    <sheet name="Flujo de Efectivo" sheetId="5" r:id="rId6"/>
    <sheet name="Notas a los EEFF" sheetId="7" r:id="rId7"/>
    <sheet name="Anexo 5a-5c" sheetId="8" r:id="rId8"/>
    <sheet name="Anexo 5d-5h" sheetId="9" r:id="rId9"/>
    <sheet name="Anexo 5i-5m" sheetId="10" r:id="rId10"/>
    <sheet name="Anexo 5n-5r" sheetId="11" r:id="rId11"/>
    <sheet name="Anexo 5s-5w" sheetId="12" r:id="rId12"/>
    <sheet name="Anexo 5x-5z" sheetId="13" r:id="rId13"/>
    <sheet name="Notas 6-11" sheetId="14" r:id="rId14"/>
  </sheets>
  <definedNames>
    <definedName name="_Hlk47006462" localSheetId="2">'Balance General'!#REF!</definedName>
    <definedName name="_Hlk47083218" localSheetId="13">'Notas 6-11'!$C$10</definedName>
    <definedName name="_xlnm.Print_Area" localSheetId="6">'Notas a los EEFF'!$B$1:$C$42</definedName>
  </definedNames>
  <calcPr calcId="191029"/>
</workbook>
</file>

<file path=xl/calcChain.xml><?xml version="1.0" encoding="utf-8"?>
<calcChain xmlns="http://schemas.openxmlformats.org/spreadsheetml/2006/main">
  <c r="C13" i="5" l="1"/>
  <c r="C27" i="5"/>
  <c r="C12" i="5"/>
  <c r="C30" i="5"/>
  <c r="C28" i="12"/>
  <c r="C31" i="4"/>
  <c r="C17" i="4"/>
  <c r="C41" i="12"/>
  <c r="D20" i="11"/>
  <c r="C20" i="11"/>
  <c r="C26" i="3"/>
  <c r="C13" i="3"/>
  <c r="C13" i="9"/>
  <c r="C81" i="12"/>
  <c r="C66" i="12"/>
  <c r="C71" i="12"/>
  <c r="C43" i="12"/>
  <c r="C42" i="12"/>
  <c r="E12" i="12"/>
  <c r="C21" i="10"/>
  <c r="C8" i="9"/>
  <c r="L12" i="15" l="1"/>
  <c r="K12" i="15"/>
  <c r="D13" i="15"/>
  <c r="D11" i="15"/>
  <c r="G83" i="3"/>
  <c r="D83" i="3"/>
  <c r="C33" i="5"/>
  <c r="D39" i="5"/>
  <c r="D31" i="5"/>
  <c r="G35" i="3"/>
  <c r="C24" i="5" l="1"/>
  <c r="C28" i="5"/>
  <c r="D24" i="10" l="1"/>
  <c r="C24" i="10"/>
  <c r="C33" i="10"/>
  <c r="C64" i="10"/>
  <c r="D64" i="10"/>
  <c r="G13" i="3" s="1"/>
  <c r="I29" i="8"/>
  <c r="H29" i="8"/>
  <c r="H27" i="8"/>
  <c r="I27" i="8" s="1"/>
  <c r="H26" i="8"/>
  <c r="I26" i="8" s="1"/>
  <c r="H25" i="8"/>
  <c r="I25" i="8" s="1"/>
  <c r="I24" i="8"/>
  <c r="H24" i="8"/>
  <c r="H23" i="8"/>
  <c r="I23" i="8" s="1"/>
  <c r="I22" i="8"/>
  <c r="H22" i="8"/>
  <c r="G25" i="8"/>
  <c r="D62" i="9" l="1"/>
  <c r="G62" i="9" s="1"/>
  <c r="L62" i="9" s="1"/>
  <c r="M62" i="9" s="1"/>
  <c r="D58" i="3" s="1"/>
  <c r="G59" i="9"/>
  <c r="M59" i="9" s="1"/>
  <c r="L58" i="9"/>
  <c r="G58" i="9"/>
  <c r="M58" i="9" s="1"/>
  <c r="C61" i="9"/>
  <c r="D8" i="9"/>
  <c r="D13" i="9" s="1"/>
  <c r="C12" i="3" l="1"/>
  <c r="L65" i="1"/>
  <c r="K64" i="1"/>
  <c r="K63" i="1"/>
  <c r="K62" i="1"/>
  <c r="K61" i="1"/>
  <c r="K60" i="1"/>
  <c r="K59" i="1"/>
  <c r="K58" i="1"/>
  <c r="K57" i="1"/>
  <c r="K56" i="1"/>
  <c r="G56" i="1"/>
  <c r="H56" i="1" s="1"/>
  <c r="G57" i="1" s="1"/>
  <c r="H57" i="1" s="1"/>
  <c r="G58" i="1" s="1"/>
  <c r="H58" i="1" s="1"/>
  <c r="G59" i="1" s="1"/>
  <c r="H59" i="1" s="1"/>
  <c r="G60" i="1" s="1"/>
  <c r="H60" i="1" s="1"/>
  <c r="G61" i="1" s="1"/>
  <c r="H61" i="1" s="1"/>
  <c r="G62" i="1" s="1"/>
  <c r="H62" i="1" s="1"/>
  <c r="G63" i="1" s="1"/>
  <c r="H63" i="1" s="1"/>
  <c r="G64" i="1" s="1"/>
  <c r="H64" i="1" s="1"/>
  <c r="J55" i="1"/>
  <c r="J65" i="1" s="1"/>
  <c r="I55" i="1"/>
  <c r="K55" i="1" s="1"/>
  <c r="M65" i="1" l="1"/>
  <c r="K65" i="1"/>
  <c r="I65" i="1"/>
  <c r="C25" i="5" l="1"/>
  <c r="F35" i="3"/>
  <c r="C38" i="5"/>
  <c r="E36" i="8"/>
  <c r="C36" i="8"/>
  <c r="E29" i="8"/>
  <c r="F29" i="8" s="1"/>
  <c r="E27" i="8"/>
  <c r="F27" i="8" s="1"/>
  <c r="E26" i="8"/>
  <c r="F26" i="8" s="1"/>
  <c r="E25" i="8"/>
  <c r="E24" i="8"/>
  <c r="F24" i="8" s="1"/>
  <c r="E23" i="8"/>
  <c r="F23" i="8" s="1"/>
  <c r="E22" i="8"/>
  <c r="F22" i="8" s="1"/>
  <c r="F83" i="3"/>
  <c r="C83" i="3"/>
  <c r="F13" i="3"/>
  <c r="E35" i="8"/>
  <c r="C35" i="8"/>
  <c r="F13" i="12"/>
  <c r="F8" i="12"/>
  <c r="G76" i="3"/>
  <c r="F13" i="15"/>
  <c r="F11" i="15"/>
  <c r="F9" i="12"/>
  <c r="D17" i="15"/>
  <c r="F65" i="3"/>
  <c r="F76" i="3" s="1"/>
  <c r="D71" i="9"/>
  <c r="D67" i="3" s="1"/>
  <c r="D63" i="3" s="1"/>
  <c r="C71" i="9"/>
  <c r="C67" i="3" s="1"/>
  <c r="C63" i="3" s="1"/>
  <c r="I14" i="15"/>
  <c r="I17" i="15" s="1"/>
  <c r="F8" i="10"/>
  <c r="C48" i="10"/>
  <c r="D48" i="10"/>
  <c r="D33" i="12"/>
  <c r="D8" i="4" s="1"/>
  <c r="C53" i="12"/>
  <c r="D53" i="12"/>
  <c r="D25" i="4" s="1"/>
  <c r="D22" i="4" s="1"/>
  <c r="C33" i="12"/>
  <c r="C16" i="4" s="1"/>
  <c r="C8" i="4" s="1"/>
  <c r="C21" i="4" s="1"/>
  <c r="C14" i="12"/>
  <c r="K11" i="15"/>
  <c r="L16" i="15"/>
  <c r="M16" i="15" s="1"/>
  <c r="G14" i="15"/>
  <c r="M14" i="15" s="1"/>
  <c r="L11" i="15"/>
  <c r="J11" i="15"/>
  <c r="J17" i="15" s="1"/>
  <c r="G11" i="15"/>
  <c r="C41" i="9"/>
  <c r="D41" i="9"/>
  <c r="D34" i="3"/>
  <c r="D33" i="3" s="1"/>
  <c r="D48" i="9"/>
  <c r="D27" i="3" s="1"/>
  <c r="D24" i="3" s="1"/>
  <c r="F12" i="12"/>
  <c r="F11" i="12"/>
  <c r="F10" i="12"/>
  <c r="C17" i="15"/>
  <c r="M15" i="15"/>
  <c r="E18" i="15"/>
  <c r="E17" i="15"/>
  <c r="C18" i="15"/>
  <c r="M18" i="15"/>
  <c r="D18" i="15"/>
  <c r="L56" i="9"/>
  <c r="K61" i="9"/>
  <c r="L55" i="9"/>
  <c r="F24" i="3"/>
  <c r="D83" i="12"/>
  <c r="C83" i="12"/>
  <c r="C32" i="4" s="1"/>
  <c r="C26" i="4" s="1"/>
  <c r="D45" i="12"/>
  <c r="D19" i="4" s="1"/>
  <c r="D17" i="4" s="1"/>
  <c r="C45" i="12"/>
  <c r="C19" i="4" s="1"/>
  <c r="G55" i="9"/>
  <c r="M55" i="9" s="1"/>
  <c r="F24" i="9"/>
  <c r="C13" i="13"/>
  <c r="C35" i="4" s="1"/>
  <c r="G57" i="9"/>
  <c r="M57" i="9" s="1"/>
  <c r="G60" i="9"/>
  <c r="G56" i="9"/>
  <c r="M56" i="9" s="1"/>
  <c r="C40" i="3"/>
  <c r="C20" i="3"/>
  <c r="C34" i="3"/>
  <c r="C33" i="3" s="1"/>
  <c r="L57" i="9"/>
  <c r="H61" i="9"/>
  <c r="C48" i="9"/>
  <c r="C27" i="3" s="1"/>
  <c r="D36" i="13"/>
  <c r="D42" i="4" s="1"/>
  <c r="C36" i="13"/>
  <c r="C42" i="4" s="1"/>
  <c r="C36" i="5" s="1"/>
  <c r="C29" i="13"/>
  <c r="C39" i="4" s="1"/>
  <c r="D29" i="13"/>
  <c r="D39" i="4" s="1"/>
  <c r="D13" i="13"/>
  <c r="D35" i="4" s="1"/>
  <c r="C69" i="10"/>
  <c r="F12" i="3" s="1"/>
  <c r="D69" i="10"/>
  <c r="G12" i="3" s="1"/>
  <c r="G11" i="3" s="1"/>
  <c r="C38" i="10"/>
  <c r="D38" i="10"/>
  <c r="D33" i="10"/>
  <c r="D37" i="5"/>
  <c r="D22" i="5"/>
  <c r="D14" i="5"/>
  <c r="G52" i="3"/>
  <c r="G48" i="3"/>
  <c r="G56" i="3" s="1"/>
  <c r="G33" i="3"/>
  <c r="G24" i="3"/>
  <c r="G18" i="3"/>
  <c r="F52" i="3"/>
  <c r="F48" i="3"/>
  <c r="F18" i="3"/>
  <c r="D73" i="3"/>
  <c r="D40" i="3"/>
  <c r="D15" i="3"/>
  <c r="D11" i="3"/>
  <c r="C73" i="3"/>
  <c r="C46" i="3"/>
  <c r="C15" i="3"/>
  <c r="C11" i="3"/>
  <c r="H17" i="15"/>
  <c r="D20" i="3"/>
  <c r="D32" i="4" l="1"/>
  <c r="D26" i="4" s="1"/>
  <c r="C22" i="4"/>
  <c r="C20" i="4"/>
  <c r="L18" i="15"/>
  <c r="F33" i="3"/>
  <c r="C34" i="5"/>
  <c r="C37" i="5" s="1"/>
  <c r="K18" i="15"/>
  <c r="K17" i="15"/>
  <c r="D21" i="4"/>
  <c r="F11" i="3"/>
  <c r="C24" i="3"/>
  <c r="D41" i="5"/>
  <c r="G37" i="3"/>
  <c r="G59" i="3" s="1"/>
  <c r="G77" i="3" s="1"/>
  <c r="D76" i="3"/>
  <c r="G61" i="9"/>
  <c r="F25" i="8"/>
  <c r="F56" i="3"/>
  <c r="L61" i="9"/>
  <c r="N12" i="15"/>
  <c r="F17" i="15"/>
  <c r="M13" i="15"/>
  <c r="D37" i="3"/>
  <c r="J18" i="15"/>
  <c r="G17" i="15"/>
  <c r="C11" i="5"/>
  <c r="D14" i="12"/>
  <c r="F18" i="15"/>
  <c r="G18" i="15"/>
  <c r="F14" i="12"/>
  <c r="N11" i="15"/>
  <c r="E14" i="12"/>
  <c r="D33" i="4" l="1"/>
  <c r="D44" i="4" s="1"/>
  <c r="D47" i="4" s="1"/>
  <c r="C33" i="4"/>
  <c r="C44" i="4" s="1"/>
  <c r="C47" i="4" s="1"/>
  <c r="F37" i="3"/>
  <c r="F59" i="3" s="1"/>
  <c r="F77" i="3" s="1"/>
  <c r="C19" i="5"/>
  <c r="N18" i="15"/>
  <c r="C37" i="3"/>
  <c r="D77" i="3"/>
  <c r="M61" i="9"/>
  <c r="C58" i="3" s="1"/>
  <c r="L17" i="15"/>
  <c r="M17" i="15" s="1"/>
  <c r="C14" i="5"/>
  <c r="C17" i="5" l="1"/>
  <c r="C22" i="5" s="1"/>
  <c r="C31" i="5"/>
  <c r="C76" i="3"/>
  <c r="C77" i="3" s="1"/>
  <c r="C39" i="5" l="1"/>
  <c r="C41" i="5" s="1"/>
</calcChain>
</file>

<file path=xl/sharedStrings.xml><?xml version="1.0" encoding="utf-8"?>
<sst xmlns="http://schemas.openxmlformats.org/spreadsheetml/2006/main" count="770" uniqueCount="585">
  <si>
    <t xml:space="preserve">INFORMACION GENERAL DE LA ENTIDAD </t>
  </si>
  <si>
    <t>CARGO</t>
  </si>
  <si>
    <t>NOMBRE Y APELLIDO</t>
  </si>
  <si>
    <t xml:space="preserve">Presidente </t>
  </si>
  <si>
    <t>Vicepresidente</t>
  </si>
  <si>
    <t>Capital a Integrar</t>
  </si>
  <si>
    <t>Cantidad</t>
  </si>
  <si>
    <t>Activo</t>
  </si>
  <si>
    <t>PERIODO    ACTUAL</t>
  </si>
  <si>
    <t>PASIVO</t>
  </si>
  <si>
    <t>Activo Corriente</t>
  </si>
  <si>
    <t xml:space="preserve">Caja                                                                                              </t>
  </si>
  <si>
    <t>Bancos</t>
  </si>
  <si>
    <t>Otros activos a rendir</t>
  </si>
  <si>
    <t xml:space="preserve">Inversiones Temporarias </t>
  </si>
  <si>
    <t>Títulos de Renta Variable</t>
  </si>
  <si>
    <t>Títulos de Renta Fija</t>
  </si>
  <si>
    <t>Inventario</t>
  </si>
  <si>
    <t>PASIVO Corriente</t>
  </si>
  <si>
    <t>Documentos y Cuentas a Pagar</t>
  </si>
  <si>
    <t xml:space="preserve">Empresas Relacionadas </t>
  </si>
  <si>
    <t xml:space="preserve">Obligac. Por Contratos de Underwriting </t>
  </si>
  <si>
    <t>Préstamos Financieros (Nota 5. k)</t>
  </si>
  <si>
    <t>Préstamo</t>
  </si>
  <si>
    <t>Intereses a pagar</t>
  </si>
  <si>
    <t>Créditos (Nota 5. f)</t>
  </si>
  <si>
    <t xml:space="preserve">Deudores por Intermediación </t>
  </si>
  <si>
    <t xml:space="preserve">Documentos y cuentas por cobrar  </t>
  </si>
  <si>
    <t>Deudores Varios</t>
  </si>
  <si>
    <t xml:space="preserve">Cuentas por cobrar a Personas y Empresas Relacionadas </t>
  </si>
  <si>
    <t xml:space="preserve">Menos: Previsión por cuentas a cobrar a personas y empresas relacionadas </t>
  </si>
  <si>
    <t xml:space="preserve">Provisiones (Nota 5. q) </t>
  </si>
  <si>
    <t>Impuestos a pagar</t>
  </si>
  <si>
    <t>Aportes y Retenciones a pagar</t>
  </si>
  <si>
    <t>Sueldos y jornales a pagar</t>
  </si>
  <si>
    <t>Seguros a pagar</t>
  </si>
  <si>
    <t>Anticipo de clientes</t>
  </si>
  <si>
    <t>Intereses a Devengar</t>
  </si>
  <si>
    <t>Otros Activos (Nota 5. j)</t>
  </si>
  <si>
    <t xml:space="preserve">Otros Activos Corrientes </t>
  </si>
  <si>
    <t>Otros Pasivos (Nota 5. q)</t>
  </si>
  <si>
    <t xml:space="preserve">Dividendos a pagar </t>
  </si>
  <si>
    <t xml:space="preserve">Otros Pasivos Corrientes </t>
  </si>
  <si>
    <t>TOTAL ACTIVO CORRIENTE</t>
  </si>
  <si>
    <t>TOTAL PASIVO CORRIENTE</t>
  </si>
  <si>
    <t>ACTIVO NO CORRIENTE</t>
  </si>
  <si>
    <t>Inversiones Permanentes (Nota 5.e)</t>
  </si>
  <si>
    <t>Acción de la Bolsa de Valores</t>
  </si>
  <si>
    <t>Menos: Previsión para Inversiones</t>
  </si>
  <si>
    <t xml:space="preserve">Créditos </t>
  </si>
  <si>
    <t>Créditos en Gestión de Cobro</t>
  </si>
  <si>
    <t xml:space="preserve">Derechos sobre títulos por Contratos  de Underwriting </t>
  </si>
  <si>
    <t>Acreedores Varios</t>
  </si>
  <si>
    <t xml:space="preserve">Préstamos Financieros </t>
  </si>
  <si>
    <t>Préstamos en Bancos</t>
  </si>
  <si>
    <t>Previsiones</t>
  </si>
  <si>
    <t>Previsión para indemnización</t>
  </si>
  <si>
    <t>Otras contingencias</t>
  </si>
  <si>
    <t>TOTAL PASIVO NO CORRIENTE</t>
  </si>
  <si>
    <t>Bienes de Uso (Nota 5. g)</t>
  </si>
  <si>
    <t>(Depreciación acumulada)</t>
  </si>
  <si>
    <t>TOTAL PASIVO</t>
  </si>
  <si>
    <t xml:space="preserve">PATRIMONIO NETO </t>
  </si>
  <si>
    <t xml:space="preserve">Activos Intangibles y Cargos Diferidos </t>
  </si>
  <si>
    <t>Programas</t>
  </si>
  <si>
    <t>(Amortización Acumulada)</t>
  </si>
  <si>
    <t>Otros Activos No Corrientes</t>
  </si>
  <si>
    <t xml:space="preserve">Gastos no devengados </t>
  </si>
  <si>
    <t>TOTAL ACTIVO NO CORRIENTE</t>
  </si>
  <si>
    <t>Capital Integrado</t>
  </si>
  <si>
    <t xml:space="preserve">Reservas Facultativas </t>
  </si>
  <si>
    <t>TOTAL PASIVO Y PATRIMONIO NETO</t>
  </si>
  <si>
    <r>
      <t>Disponibilidades</t>
    </r>
    <r>
      <rPr>
        <sz val="9"/>
        <color indexed="8"/>
        <rFont val="Arial"/>
        <family val="2"/>
      </rPr>
      <t xml:space="preserve"> (</t>
    </r>
    <r>
      <rPr>
        <b/>
        <sz val="9"/>
        <color indexed="8"/>
        <rFont val="Arial"/>
        <family val="2"/>
      </rPr>
      <t>Nota 5.d)</t>
    </r>
  </si>
  <si>
    <r>
      <t>Menos: Previsión para incobrables</t>
    </r>
    <r>
      <rPr>
        <b/>
        <sz val="9"/>
        <color indexed="8"/>
        <rFont val="Arial"/>
        <family val="2"/>
      </rPr>
      <t xml:space="preserve"> </t>
    </r>
  </si>
  <si>
    <r>
      <t xml:space="preserve">Menos: Previsión para incobrables </t>
    </r>
    <r>
      <rPr>
        <b/>
        <sz val="9"/>
        <color indexed="8"/>
        <rFont val="Arial"/>
        <family val="2"/>
      </rPr>
      <t xml:space="preserve"> </t>
    </r>
  </si>
  <si>
    <t xml:space="preserve">TOTAL ACTIVO  </t>
  </si>
  <si>
    <t>ELERCICIO ANTERIOR</t>
  </si>
  <si>
    <t>PERIODO ACTUAL</t>
  </si>
  <si>
    <t>IGUAL PERIODO DEL AÑO ANTERIOR</t>
  </si>
  <si>
    <t>INGRESOS OPERATIVOS</t>
  </si>
  <si>
    <t xml:space="preserve">. Comisiones por contratos de colocación primaria </t>
  </si>
  <si>
    <t xml:space="preserve">Comisiones por contratos de colocación primaria de acciones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</si>
  <si>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</si>
  <si>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</si>
  <si>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</si>
  <si>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</si>
  <si>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</si>
  <si>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</si>
  <si>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</si>
  <si>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</si>
  <si>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</si>
  <si>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</si>
  <si>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</si>
  <si>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</si>
  <si>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</si>
  <si>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</si>
  <si>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</si>
  <si>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</si>
  <si>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</si>
  <si>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</si>
  <si>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</si>
  <si>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</si>
  <si>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</si>
  <si>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</si>
  <si>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</si>
  <si>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</si>
  <si>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</si>
  <si>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</si>
  <si>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</si>
  <si>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</si>
  <si>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</si>
  <si>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</si>
  <si>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</si>
  <si>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</si>
  <si>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</si>
  <si>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</si>
  <si>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</si>
  <si>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</si>
  <si>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</si>
  <si>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</si>
  <si>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</si>
  <si>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</si>
  <si>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</si>
  <si>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</si>
  <si>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</si>
  <si>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</si>
  <si>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</si>
  <si>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</si>
  <si>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</si>
  <si>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</si>
  <si>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</si>
  <si>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</si>
  <si>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</si>
  <si>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</si>
  <si>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</si>
  <si>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</si>
  <si>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</si>
  <si>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</si>
  <si>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</si>
  <si>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</si>
  <si>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</si>
  <si>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</si>
  <si>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</si>
  <si>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</si>
  <si>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</si>
  <si>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</si>
  <si>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</si>
  <si>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</si>
  <si>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</si>
  <si>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</si>
  <si>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</si>
  <si>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</si>
  <si>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</si>
  <si>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</si>
  <si>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</si>
  <si>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</si>
  <si>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</si>
  <si>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</si>
  <si>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</si>
  <si>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</si>
  <si>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</si>
  <si>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</si>
  <si>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</si>
  <si>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</si>
  <si>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</si>
  <si>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</si>
  <si>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</si>
  <si>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</si>
  <si>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t xml:space="preserve">2) </t>
  </si>
  <si>
    <t>2.1. Naturaleza jurídica de las actividades de la sociedad.</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</si>
  <si>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</si>
  <si>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</si>
  <si>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</si>
  <si>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3)</t>
  </si>
  <si>
    <t>El criterio adoptado para las depreciaciones es el método lineal de acuerdo a los años de vida útil del bien.</t>
  </si>
  <si>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</si>
  <si>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</si>
  <si>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</si>
  <si>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t>No se han efectuado cambios con respecto a años anteriores.</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</si>
  <si>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</si>
  <si>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</si>
  <si>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</si>
  <si>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</si>
  <si>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</si>
  <si>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</si>
  <si>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</si>
  <si>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</si>
  <si>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</si>
  <si>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</si>
  <si>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</si>
  <si>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</si>
  <si>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</si>
  <si>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</si>
  <si>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</si>
  <si>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</si>
  <si>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</si>
  <si>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</si>
  <si>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t>
  </si>
  <si>
    <t>c) Diferencia de cambio en moneda extranjera</t>
  </si>
  <si>
    <t>CONCEPTO</t>
  </si>
  <si>
    <t>TIPO DE CAMBIO PERIODO ACTUAL</t>
  </si>
  <si>
    <t>MONTO AJUSTADO PERIODO ACTUAL G.</t>
  </si>
  <si>
    <t>TIPO DE CAMBIO  PERIODO ANTERIOR</t>
  </si>
  <si>
    <t>MONTO AJUSTADO  PERIODO ANTERIOR G.</t>
  </si>
  <si>
    <t xml:space="preserve">d) Disponibilidades </t>
  </si>
  <si>
    <t xml:space="preserve">Concepto </t>
  </si>
  <si>
    <t>Período Actual Gs.</t>
  </si>
  <si>
    <t xml:space="preserve"> Período Anterior Gs.</t>
  </si>
  <si>
    <t>Fondo Fijo</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</si>
  <si>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</si>
  <si>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</si>
  <si>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</si>
  <si>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</si>
  <si>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</si>
  <si>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</si>
  <si>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</si>
  <si>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</si>
  <si>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</si>
  <si>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</si>
  <si>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</si>
  <si>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</si>
  <si>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</si>
  <si>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</si>
  <si>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</si>
  <si>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</si>
  <si>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TOTALES PERíODO ANTERIOR G.</t>
  </si>
  <si>
    <t xml:space="preserve">Acciones BVPASA </t>
  </si>
  <si>
    <t>Valor Nominal</t>
  </si>
  <si>
    <t>Valor Libro de la acción</t>
  </si>
  <si>
    <t>Valor último remate</t>
  </si>
  <si>
    <t>Saldo período actual en Gs.</t>
  </si>
  <si>
    <t>Saldo período anterior en Gs.</t>
  </si>
  <si>
    <t xml:space="preserve">f) Créditos  </t>
  </si>
  <si>
    <t>Período Anterior Gs.</t>
  </si>
  <si>
    <t>Totales</t>
  </si>
  <si>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</si>
  <si>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</si>
  <si>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</si>
  <si>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</si>
  <si>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</si>
  <si>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</si>
  <si>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</si>
  <si>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</si>
  <si>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</si>
  <si>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</si>
  <si>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</si>
  <si>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</si>
  <si>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</si>
  <si>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</si>
  <si>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Totales período actual</t>
  </si>
  <si>
    <t>Totales  período anterior</t>
  </si>
  <si>
    <t>h) Cargos Diferidos</t>
  </si>
  <si>
    <t>No Aplicable</t>
  </si>
  <si>
    <t>SALDO</t>
  </si>
  <si>
    <t>INICIAL</t>
  </si>
  <si>
    <t>AUMENTOS</t>
  </si>
  <si>
    <t>AMORTIZACIONES</t>
  </si>
  <si>
    <t>NETO FINAL</t>
  </si>
  <si>
    <t>Total actual</t>
  </si>
  <si>
    <t>Total período anterior</t>
  </si>
  <si>
    <t>j) Otros Activos</t>
  </si>
  <si>
    <t xml:space="preserve">k) Préstamos Financieros (Pasivo Corriente) </t>
  </si>
  <si>
    <t xml:space="preserve">PRESTAMOS </t>
  </si>
  <si>
    <t>Período Actual en Gs.</t>
  </si>
  <si>
    <t>Período anterior en Gs.</t>
  </si>
  <si>
    <t>INTERESES A PAGAR</t>
  </si>
  <si>
    <t>SOBREGIRO BANCARIO</t>
  </si>
  <si>
    <t xml:space="preserve">l) Documentos y Cuentas por pagar (Pasivo Corriente) </t>
  </si>
  <si>
    <t>Período anterior Gs.</t>
  </si>
  <si>
    <t>BVPASA - ( Aranceles )</t>
  </si>
  <si>
    <t>n) Administración de Cartera (corto y largo plazo)</t>
  </si>
  <si>
    <t>p) Obligaciones por contrato de Underwriting (corto y largo plazo)</t>
  </si>
  <si>
    <t>q) Otros Pasivos (Pasivo Corriente)</t>
  </si>
  <si>
    <t>Concepto</t>
  </si>
  <si>
    <t>Provisiones (Pasivo Corriente)</t>
  </si>
  <si>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</si>
  <si>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</si>
  <si>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</si>
  <si>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</si>
  <si>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</si>
  <si>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</si>
  <si>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</si>
  <si>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</si>
  <si>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</si>
  <si>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</si>
  <si>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</si>
  <si>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</si>
  <si>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</si>
  <si>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</si>
  <si>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Período Actual</t>
  </si>
  <si>
    <t xml:space="preserve"> en Gs.</t>
  </si>
  <si>
    <t xml:space="preserve">Igual Período de año </t>
  </si>
  <si>
    <t>anterior en Gs.</t>
  </si>
  <si>
    <t>Venta de Acciones</t>
  </si>
  <si>
    <t>Venta de Bonos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</si>
  <si>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</si>
  <si>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</si>
  <si>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</si>
  <si>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</si>
  <si>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</si>
  <si>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</si>
  <si>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</si>
  <si>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</si>
  <si>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</si>
  <si>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Otros Gastos de Comercialización</t>
  </si>
  <si>
    <t>Gastos de movilidad</t>
  </si>
  <si>
    <t xml:space="preserve">Otros Gastos de Administración </t>
  </si>
  <si>
    <t>Aporte patronal</t>
  </si>
  <si>
    <t>Aguinaldos pagados</t>
  </si>
  <si>
    <t>Vacaciones pagadas</t>
  </si>
  <si>
    <t>Indemnizaciones</t>
  </si>
  <si>
    <t>Remuneración personal superior</t>
  </si>
  <si>
    <t>Honorarios profesionales</t>
  </si>
  <si>
    <t>Gratificaciones</t>
  </si>
  <si>
    <t>Alquileres</t>
  </si>
  <si>
    <t>Útiles de oficina</t>
  </si>
  <si>
    <t>Comisiones y gastos bancarios operacionales</t>
  </si>
  <si>
    <t>Multas y recargos</t>
  </si>
  <si>
    <t>Gastos de consumición y limpieza</t>
  </si>
  <si>
    <t>Seguridad y vigilancia</t>
  </si>
  <si>
    <t xml:space="preserve">Gastos no deducibles                     </t>
  </si>
  <si>
    <t>Servicios contratados</t>
  </si>
  <si>
    <t>Viáticos</t>
  </si>
  <si>
    <t>Otros gastos de administración</t>
  </si>
  <si>
    <t>Comisiones y gastos bancarios sobre operaciones crediticias</t>
  </si>
  <si>
    <t>x) Otros Ingresos y Egresos</t>
  </si>
  <si>
    <t>Igual Período de año anterior en Gs.</t>
  </si>
  <si>
    <t>Totales:</t>
  </si>
  <si>
    <t>y) Resultados Financieros</t>
  </si>
  <si>
    <t xml:space="preserve">z) Resultados Extraordinarios </t>
  </si>
  <si>
    <t>6)</t>
  </si>
  <si>
    <t>Información referente a contingencias y compromisos.</t>
  </si>
  <si>
    <t>a) Compromisos directos</t>
  </si>
  <si>
    <t>b) Contingencias Legales</t>
  </si>
  <si>
    <t>Detalle de la Póliza</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</si>
  <si>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</si>
  <si>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</si>
  <si>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</si>
  <si>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</si>
  <si>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</si>
  <si>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</si>
  <si>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</si>
  <si>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</si>
  <si>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TOTAL PATRIMONIO NETO</t>
  </si>
  <si>
    <t>Saldo al inicio del ejercicio</t>
  </si>
  <si>
    <t>Resultado del Ejercicio</t>
  </si>
  <si>
    <t>SALDO – PERIODO ANTERIOR  (GUARANIES)</t>
  </si>
  <si>
    <t>MONEDA EXTRANJERA - MONTO</t>
  </si>
  <si>
    <t>Acreedores Varios (Nota 5. l)</t>
  </si>
  <si>
    <t>Fondo de garantía - BVPASA</t>
  </si>
  <si>
    <t>Obligac. por Administración de Cartera (5.n)</t>
  </si>
  <si>
    <t>Capacitación al Personal</t>
  </si>
  <si>
    <t>Gtos. De Representación</t>
  </si>
  <si>
    <r>
      <t>Acreedores por Intermediación</t>
    </r>
    <r>
      <rPr>
        <b/>
        <sz val="9"/>
        <rFont val="Arial"/>
        <family val="2"/>
      </rPr>
      <t xml:space="preserve"> (</t>
    </r>
    <r>
      <rPr>
        <sz val="9"/>
        <rFont val="Arial"/>
        <family val="2"/>
      </rPr>
      <t>Nota 5.m)</t>
    </r>
  </si>
  <si>
    <r>
      <t>Intereses a Devengar</t>
    </r>
    <r>
      <rPr>
        <b/>
        <sz val="9"/>
        <rFont val="Arial"/>
        <family val="2"/>
      </rPr>
      <t xml:space="preserve"> </t>
    </r>
  </si>
  <si>
    <r>
      <t>Otros Pasivos no Corrientes</t>
    </r>
    <r>
      <rPr>
        <b/>
        <sz val="9"/>
        <rFont val="Arial"/>
        <family val="2"/>
      </rPr>
      <t xml:space="preserve"> </t>
    </r>
  </si>
  <si>
    <t>Cuentas de Orden Deudoras</t>
  </si>
  <si>
    <t>Cuentas de Orden Acreedoras</t>
  </si>
  <si>
    <t>Total período Actual</t>
  </si>
  <si>
    <t>Total período Anterior</t>
  </si>
  <si>
    <t>Equipos</t>
  </si>
  <si>
    <t>Rodados</t>
  </si>
  <si>
    <t>Compra de propiedades, planta y equipo</t>
  </si>
  <si>
    <t>Acción BVPASA</t>
  </si>
  <si>
    <t>R. ACCIONES</t>
  </si>
  <si>
    <r>
      <t>Impuestos</t>
    </r>
    <r>
      <rPr>
        <b/>
        <sz val="10"/>
        <color indexed="8"/>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</si>
  <si>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</si>
  <si>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</si>
  <si>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</si>
  <si>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r>
      <t xml:space="preserve">Diferencia de cambio </t>
    </r>
    <r>
      <rPr>
        <sz val="10"/>
        <color indexed="8"/>
        <rFont val="Calibri"/>
        <family val="2"/>
      </rPr>
      <t>(7)</t>
    </r>
  </si>
  <si>
    <t>PERIODO    ANTERIOR</t>
  </si>
  <si>
    <t>Anticipo Impuesto a la Renta</t>
  </si>
  <si>
    <t>Retenciones Impuesto a la Renta</t>
  </si>
  <si>
    <t>Retenciones de IVA</t>
  </si>
  <si>
    <t>IVA Credito Fiscal - 10%</t>
  </si>
  <si>
    <t>Reserva de Revaluo Fiscal</t>
  </si>
  <si>
    <t xml:space="preserve">Resultado del Ejercicio </t>
  </si>
  <si>
    <t xml:space="preserve">7) </t>
  </si>
  <si>
    <t>9)</t>
  </si>
  <si>
    <t>Venta de CDA</t>
  </si>
  <si>
    <t xml:space="preserve">Ingresos por Operaciones y servicios extrabursatiles </t>
  </si>
  <si>
    <t>Ingresos por Servicios de Rep. De Tenedores</t>
  </si>
  <si>
    <t>Agua, Luz y Telefono</t>
  </si>
  <si>
    <t>Intereses Pagados</t>
  </si>
  <si>
    <t>PASIVO No Corriente</t>
  </si>
  <si>
    <t>facultativa</t>
  </si>
  <si>
    <t xml:space="preserve">Asu Capital  Casa de Bolsa S.A. Se rige por las disposiciones legales contenidas en la Ley Nº 5810 de Mercados de Capitales y todas las demás disposiciones legales y reglamentarias del país. </t>
  </si>
  <si>
    <t xml:space="preserve">Inicialmente la Sociedad se constituyó bajo la denominación Vanny S.A.  creada el 11 de Julio de 2019 por Escritura Pública Nº 57 pasada ante el Escribano Público Julio Cesar Denis,  e inscripta en el Registro Público de Comercio bajo en Nº 9900625, folio 01 y siguientes en fecha 11 de setiembre de 2019. </t>
  </si>
  <si>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Los Estados Contables no reconocen en forma integral los efectos de la inflación sobre los valores tomados en conjunto. </t>
  </si>
  <si>
    <t>Gastos de Constitucion CBSA</t>
  </si>
  <si>
    <t>USD</t>
  </si>
  <si>
    <t>BOLSA DE VALORES Y PRODUCTOS DE ASUNCION S.A.</t>
  </si>
  <si>
    <t>ACCION</t>
  </si>
  <si>
    <t>Gastos de Constitucion</t>
  </si>
  <si>
    <t xml:space="preserve">Dominio CNC asucapital.com.py  </t>
  </si>
  <si>
    <t>Mass Publicidad S.R.L.</t>
  </si>
  <si>
    <t>Sueldos y jornales no deducibles</t>
  </si>
  <si>
    <t xml:space="preserve">Banco Vision Caja de Ahorro USD.  </t>
  </si>
  <si>
    <t>Número de Póliza : 25.1514.001012/0000</t>
  </si>
  <si>
    <t xml:space="preserve">Asegurado : BOLSA DE VALORES Y PRODUCTOS DE ASUNCION SA </t>
  </si>
  <si>
    <t>Tomador: ASU CAPITAL CASA DE BOLSA SA</t>
  </si>
  <si>
    <t>Fecha de emisión : 13/09/2021</t>
  </si>
  <si>
    <t>Vigencia desde :13/09/2021</t>
  </si>
  <si>
    <t>Vigencia hasta : 13/09/2022</t>
  </si>
  <si>
    <t xml:space="preserve">Plazo en días : 365 días </t>
  </si>
  <si>
    <t>Capital máximo asegurado : 575.000.000</t>
  </si>
  <si>
    <t xml:space="preserve">Compañía de Seguro :SEGURIDAD S.A. CIA DE SEGUROS </t>
  </si>
  <si>
    <t xml:space="preserve">  CONCEPTO</t>
  </si>
  <si>
    <t xml:space="preserve"> CONCEPTO</t>
  </si>
  <si>
    <t>Capital Social</t>
  </si>
  <si>
    <t>Capital Emitido</t>
  </si>
  <si>
    <t>N°</t>
  </si>
  <si>
    <t>ACCIONISTA</t>
  </si>
  <si>
    <t xml:space="preserve">SERIE </t>
  </si>
  <si>
    <t>CLASE</t>
  </si>
  <si>
    <t>VOTO</t>
  </si>
  <si>
    <t xml:space="preserve">N° DE ACCIONES </t>
  </si>
  <si>
    <t xml:space="preserve">CANTIDAD ACCIONES </t>
  </si>
  <si>
    <t xml:space="preserve">MONTO </t>
  </si>
  <si>
    <t>CERTIFICADOS PROVISIONALES</t>
  </si>
  <si>
    <t>% PARTIC.CAPITAL INTEGRADO</t>
  </si>
  <si>
    <t xml:space="preserve">RODRIGO CALLIZO LOPEZ MOREIRA </t>
  </si>
  <si>
    <t>Ordinaria</t>
  </si>
  <si>
    <t>Simple</t>
  </si>
  <si>
    <t>MANUEL FRONCIANI CASSANELLO</t>
  </si>
  <si>
    <t>GUILLERMO FRONCIANI CASSANELLO</t>
  </si>
  <si>
    <t>BELTRAN MACCHI SALIN</t>
  </si>
  <si>
    <t>LUIS ALBERTO MALDONADO RENAULT</t>
  </si>
  <si>
    <t>HUMBERTO MIGUEL CAMPERCHIOLI GALEANO</t>
  </si>
  <si>
    <t>LUIS ANTONIO SOSA OCAMPO</t>
  </si>
  <si>
    <t>ALEXIS MANUEL FRUTOS RUIZ</t>
  </si>
  <si>
    <t>LIVIO ARFAJAD ELIZECHE VELAZQUEZ</t>
  </si>
  <si>
    <t>ANDRES OVIDIO MACCHI AYALA</t>
  </si>
  <si>
    <t xml:space="preserve"> </t>
  </si>
  <si>
    <t>Capital Suscripto e Integrado</t>
  </si>
  <si>
    <t>Anticipo a Proveedores</t>
  </si>
  <si>
    <t xml:space="preserve">Reservas  </t>
  </si>
  <si>
    <t>(-) Capital a integrar</t>
  </si>
  <si>
    <t xml:space="preserve">Fondos Mutuos - Administradora de Fondos SA Gs    </t>
  </si>
  <si>
    <t>Fondos Mutuos - Administradora de Fondos SA U$</t>
  </si>
  <si>
    <t xml:space="preserve">Fondos Mutuos - Administradora de Fondos SA U$    </t>
  </si>
  <si>
    <t>Cuentas Activas</t>
  </si>
  <si>
    <t>Aporte p/ futuras Capitalizaciones</t>
  </si>
  <si>
    <t>Sindico</t>
  </si>
  <si>
    <t>Nombre</t>
  </si>
  <si>
    <t>Cargo</t>
  </si>
  <si>
    <t>Bonos Entregados en REPO USD</t>
  </si>
  <si>
    <t>Vision Banco Cta. Clearing Gs.</t>
  </si>
  <si>
    <t>Vision Banco Cuenta Clearing USD</t>
  </si>
  <si>
    <t>Responsabilidad CBSA</t>
  </si>
  <si>
    <t xml:space="preserve"> Bonos en custodia REPO USD    </t>
  </si>
  <si>
    <t xml:space="preserve"> Intereses USD Financ a Cobrar neto devengado                     </t>
  </si>
  <si>
    <t>Inversiones en Bonos U$ LP</t>
  </si>
  <si>
    <t xml:space="preserve">  Inversiones en CDA USD LP      </t>
  </si>
  <si>
    <t>PASIVOS CORRIENTES</t>
  </si>
  <si>
    <t>Seguros a Devengar</t>
  </si>
  <si>
    <t>Data Systems S.A.E.C.A.</t>
  </si>
  <si>
    <t xml:space="preserve">J.C. Descalzo y Asociados                         </t>
  </si>
  <si>
    <t>Prestamos</t>
  </si>
  <si>
    <t xml:space="preserve"> Bonos Entregados en REPO USD </t>
  </si>
  <si>
    <t>Intereses Financieros</t>
  </si>
  <si>
    <t>Intereses Bursatiles Titulos/Bonos</t>
  </si>
  <si>
    <t>Impresiones</t>
  </si>
  <si>
    <t>Las 11 notas y sus anexos aclaratorios que se acompañan son parte integrante de estos estados financieros.</t>
  </si>
  <si>
    <t>S/ Movimiento</t>
  </si>
  <si>
    <t>s/ Movimiento</t>
  </si>
  <si>
    <r>
      <t>b-</t>
    </r>
    <r>
      <rPr>
        <b/>
        <sz val="7"/>
        <rFont val="Times New Roman"/>
        <family val="1"/>
      </rPr>
      <t xml:space="preserve">      </t>
    </r>
    <r>
      <rPr>
        <b/>
        <sz val="11"/>
        <rFont val="Calibri"/>
        <family val="2"/>
      </rPr>
      <t>Otros Egresos:</t>
    </r>
  </si>
  <si>
    <t xml:space="preserve">La acción que Asu Capital  Casa de Bolsa S.A., posee en la Bolsa de Valores y Productos de Asunción Sociedad Anónima (BVPASA) al 31 de diciembre de 2021 se encuentra valuada al último valor negociado en el Mercado. </t>
  </si>
  <si>
    <t>(Nota 5. h)</t>
  </si>
  <si>
    <t>No posee</t>
  </si>
  <si>
    <t xml:space="preserve">No posee </t>
  </si>
  <si>
    <r>
      <rPr>
        <b/>
        <sz val="16"/>
        <color theme="0"/>
        <rFont val="Arial Nova"/>
        <family val="2"/>
      </rPr>
      <t>ESTADOS FINANCIEROS
ASU CAPITAL Casa de Bolsa S.A.</t>
    </r>
    <r>
      <rPr>
        <u/>
        <sz val="14"/>
        <color theme="0"/>
        <rFont val="Arial Nova"/>
        <family val="2"/>
      </rPr>
      <t xml:space="preserve"> </t>
    </r>
    <r>
      <rPr>
        <sz val="11"/>
        <color theme="0"/>
        <rFont val="Arial Nova"/>
        <family val="2"/>
      </rPr>
      <t xml:space="preserve">
</t>
    </r>
  </si>
  <si>
    <t>1.            IDENTIFICACIÓN</t>
  </si>
  <si>
    <t>Razón Social:</t>
  </si>
  <si>
    <t>Registro CNV:</t>
  </si>
  <si>
    <t>Código Bolsa:</t>
  </si>
  <si>
    <t>Dirección Oficina Principal:</t>
  </si>
  <si>
    <t>Teléfono:</t>
  </si>
  <si>
    <t>E-mail:</t>
  </si>
  <si>
    <t>Sitio Página Web:</t>
  </si>
  <si>
    <t>Domicilio Legal:</t>
  </si>
  <si>
    <t>ASU CAPITAL CASA DE BOLSA S.A.</t>
  </si>
  <si>
    <t>021 3289506</t>
  </si>
  <si>
    <t xml:space="preserve">administracion@asucapital.com.py </t>
  </si>
  <si>
    <t>Avda. Aviadores Del Chaco N° 2050 - Edificio WTC Torre 3 Piso 7</t>
  </si>
  <si>
    <t>RUC N°</t>
  </si>
  <si>
    <t>80109207-8</t>
  </si>
  <si>
    <t>N° 094_08102021</t>
  </si>
  <si>
    <t>N° 32 según Res. N° 2323/21</t>
  </si>
  <si>
    <t xml:space="preserve">2.            ANTECEDENTES DE CONSTITUCIÓN </t>
  </si>
  <si>
    <t xml:space="preserve">3.            ADMINISTRACION </t>
  </si>
  <si>
    <t>Representantes Legales</t>
  </si>
  <si>
    <t>Presidente</t>
  </si>
  <si>
    <t>Vice-presidente</t>
  </si>
  <si>
    <t>MODIFICACIÓN DE ESTATUTO SOCIAL. Por Escritura Publica N. 43 (cuarenta y tres) del 23-06-2021 ante el Esc. José Javier Ramírez Otaño, titular del Reg. 692, se trascribió Acta de Asamblea Extraordinaria de VANNY S.A. de fecha 14-06-2021: Cambio de Denominación Social a ASU CAPITAL CASA DE BOLSA SOCIEDAD ANONIMA, cambio de objeto, aumento de capital social y otros. Inscripta en la Dirección Gral. de los Reg. Públicos. Dir. de Pers. Jur. y Asoc., matricula Jurídica N. 21944, serie Comercial, bajo el N 2, Folio 12 en fecha 26/07/2021, y la Dirección General de los Registros Públicos, Sección Comercial, matricula comercial N. 22168, bajo el Nº 002, folio 012, en fecha 26/07/2021.</t>
  </si>
  <si>
    <t>Plana Ejecutiva</t>
  </si>
  <si>
    <t>Auditoría Interna</t>
  </si>
  <si>
    <t>Contador</t>
  </si>
  <si>
    <t xml:space="preserve">4.            CAPITAL Y PROPIEDAD </t>
  </si>
  <si>
    <r>
      <t>Consideración de los Estados Contables</t>
    </r>
    <r>
      <rPr>
        <b/>
        <sz val="10"/>
        <color indexed="8"/>
        <rFont val="Arial Nova"/>
        <family val="2"/>
      </rPr>
      <t xml:space="preserve">. </t>
    </r>
  </si>
  <si>
    <r>
      <t>Información básica de la empresa</t>
    </r>
    <r>
      <rPr>
        <b/>
        <sz val="10"/>
        <color indexed="8"/>
        <rFont val="Arial Nova"/>
        <family val="2"/>
      </rPr>
      <t>.</t>
    </r>
  </si>
  <si>
    <r>
      <t>Principales políticas y prácticas contables aplicadas</t>
    </r>
    <r>
      <rPr>
        <b/>
        <sz val="10"/>
        <color indexed="8"/>
        <rFont val="Arial Nova"/>
        <family val="2"/>
      </rPr>
      <t>.</t>
    </r>
  </si>
  <si>
    <r>
      <t>3.3.</t>
    </r>
    <r>
      <rPr>
        <sz val="10"/>
        <color indexed="8"/>
        <rFont val="Arial Nova"/>
        <family val="2"/>
      </rPr>
      <t>             Política de constitución de previsiones: Hasta el momento no se han establecido criterios para el tratamiento de las cuentas incobrables.</t>
    </r>
  </si>
  <si>
    <r>
      <t>3.4.</t>
    </r>
    <r>
      <rPr>
        <sz val="10"/>
        <color indexed="8"/>
        <rFont val="Arial Nova"/>
        <family val="2"/>
      </rPr>
      <t>             Política de reconocimiento de ingresos: Se ha utilizado para este efecto el criterio de devengado, lo mismo para los egresos.</t>
    </r>
  </si>
  <si>
    <r>
      <t>Cambio de Políticas y Procedimientos de Contabilidad</t>
    </r>
    <r>
      <rPr>
        <b/>
        <sz val="10"/>
        <color indexed="8"/>
        <rFont val="Arial Nova"/>
        <family val="2"/>
      </rPr>
      <t>.</t>
    </r>
  </si>
  <si>
    <r>
      <t xml:space="preserve">c) Garantías constituidas: </t>
    </r>
    <r>
      <rPr>
        <sz val="10"/>
        <color indexed="8"/>
        <rFont val="Arial Nova"/>
        <family val="2"/>
      </rPr>
      <t>Póliza de Caución / Garantía de Desempeño Profesional</t>
    </r>
  </si>
  <si>
    <t>a-      Otros Ingresos:</t>
  </si>
  <si>
    <r>
      <t>a-</t>
    </r>
    <r>
      <rPr>
        <b/>
        <sz val="10"/>
        <color indexed="8"/>
        <rFont val="Arial Nova"/>
        <family val="2"/>
      </rPr>
      <t>      Intereses cobrados:</t>
    </r>
  </si>
  <si>
    <r>
      <t>b-</t>
    </r>
    <r>
      <rPr>
        <b/>
        <sz val="10"/>
        <color indexed="8"/>
        <rFont val="Arial Nova"/>
        <family val="2"/>
      </rPr>
      <t>      Intereses pagados:</t>
    </r>
  </si>
  <si>
    <r>
      <t xml:space="preserve">o) </t>
    </r>
    <r>
      <rPr>
        <b/>
        <sz val="10"/>
        <color indexed="8"/>
        <rFont val="Arial Nova"/>
        <family val="2"/>
      </rPr>
      <t>Cuentas a pagar a personas y empresas relacionadas (corto y largo plazo)</t>
    </r>
  </si>
  <si>
    <r>
      <t>-</t>
    </r>
    <r>
      <rPr>
        <sz val="10"/>
        <color indexed="8"/>
        <rFont val="Arial Nova"/>
        <family val="2"/>
      </rPr>
      <t xml:space="preserve">           </t>
    </r>
    <r>
      <rPr>
        <i/>
        <sz val="10"/>
        <color indexed="8"/>
        <rFont val="Arial Nova"/>
        <family val="2"/>
      </rPr>
      <t>Cliente Nro.1049</t>
    </r>
  </si>
  <si>
    <r>
      <t>-</t>
    </r>
    <r>
      <rPr>
        <sz val="10"/>
        <color indexed="8"/>
        <rFont val="Arial Nova"/>
        <family val="2"/>
      </rPr>
      <t xml:space="preserve">           </t>
    </r>
    <r>
      <rPr>
        <i/>
        <sz val="10"/>
        <color indexed="8"/>
        <rFont val="Arial Nova"/>
        <family val="2"/>
      </rPr>
      <t>Cliente Nro.9753</t>
    </r>
  </si>
  <si>
    <r>
      <t>a-</t>
    </r>
    <r>
      <rPr>
        <b/>
        <sz val="10"/>
        <color indexed="8"/>
        <rFont val="Arial Nova"/>
        <family val="2"/>
      </rPr>
      <t>      Otros Activos Corrientes</t>
    </r>
  </si>
  <si>
    <r>
      <t>a-</t>
    </r>
    <r>
      <rPr>
        <b/>
        <sz val="10"/>
        <color indexed="8"/>
        <rFont val="Arial Nova"/>
        <family val="2"/>
      </rPr>
      <t>      Préstamos:</t>
    </r>
  </si>
  <si>
    <t>b-      Intereses a pagar:</t>
  </si>
  <si>
    <r>
      <t>c-</t>
    </r>
    <r>
      <rPr>
        <b/>
        <sz val="10"/>
        <color indexed="8"/>
        <rFont val="Arial Nova"/>
        <family val="2"/>
      </rPr>
      <t>      Sobregiros bancarios:</t>
    </r>
  </si>
  <si>
    <r>
      <t>d-</t>
    </r>
    <r>
      <rPr>
        <b/>
        <sz val="10"/>
        <color indexed="8"/>
        <rFont val="Arial Nova"/>
        <family val="2"/>
      </rPr>
      <t>      Préstamos Porcion no corriente:</t>
    </r>
  </si>
  <si>
    <r>
      <t>m) Acreedores por Intermediación</t>
    </r>
    <r>
      <rPr>
        <sz val="10"/>
        <color theme="1"/>
        <rFont val="Arial Nova"/>
        <family val="2"/>
      </rPr>
      <t>:</t>
    </r>
  </si>
  <si>
    <r>
      <t>a-</t>
    </r>
    <r>
      <rPr>
        <b/>
        <sz val="10"/>
        <color indexed="8"/>
        <rFont val="Arial Nova"/>
        <family val="2"/>
      </rPr>
      <t>      Documentos y cuentas por cobrar</t>
    </r>
    <r>
      <rPr>
        <sz val="10"/>
        <color indexed="8"/>
        <rFont val="Arial Nova"/>
        <family val="2"/>
      </rPr>
      <t xml:space="preserve">: </t>
    </r>
  </si>
  <si>
    <r>
      <t>b-</t>
    </r>
    <r>
      <rPr>
        <b/>
        <sz val="10"/>
        <color indexed="8"/>
        <rFont val="Arial Nova"/>
        <family val="2"/>
      </rPr>
      <t>      Deudores Varios</t>
    </r>
    <r>
      <rPr>
        <sz val="10"/>
        <color indexed="8"/>
        <rFont val="Arial Nova"/>
        <family val="2"/>
      </rPr>
      <t xml:space="preserve">: </t>
    </r>
  </si>
  <si>
    <t>* Articulo N°5 del Estatuto Social: El capital social se fija en la cantidad de Guaraníes Veinte mil millones (G. 20.000.000.000), distribuido en Veinte mil (20.000) acciones ordinarias, nominativas endosables, de valor nominal de Guaraníes Un Millón (G. 1.000.000) cada una. Las acciones estarán caracterizadas con números arábigos y en forma correlativa, dentro del capital social y cada acción da derecho a un voto. No posee Serie.</t>
  </si>
  <si>
    <t>CUADRO DE  CAPITAL SUSCRIPTO E INTEGRADO</t>
  </si>
  <si>
    <t>Auditor Interno</t>
  </si>
  <si>
    <t>sin serie</t>
  </si>
  <si>
    <t>CANTIDAD VOTOS</t>
  </si>
  <si>
    <t>no posee sitio web (en desarrollo)</t>
  </si>
  <si>
    <t xml:space="preserve">5.            CAPITAL Y PROPIEDAD </t>
  </si>
  <si>
    <t>AUDITOR EXTERNO INDEPENDIENTE</t>
  </si>
  <si>
    <t>Nombre:</t>
  </si>
  <si>
    <t>Dirección:</t>
  </si>
  <si>
    <t>RUC:</t>
  </si>
  <si>
    <t xml:space="preserve">6.            CAPITAL Y PROPIEDAD </t>
  </si>
  <si>
    <t>PERSONAS Y EMPRESAS VINCULADAS</t>
  </si>
  <si>
    <t xml:space="preserve">Director  </t>
  </si>
  <si>
    <t>RODRIGO CALLIZO LOPEZ MOREIRA:</t>
  </si>
  <si>
    <t>MARÍA CRISTINA TROCHE NUÑEZ:</t>
  </si>
  <si>
    <r>
      <t xml:space="preserve">             5)</t>
    </r>
    <r>
      <rPr>
        <b/>
        <sz val="7"/>
        <color indexed="8"/>
        <rFont val="Times New Roman"/>
        <family val="1"/>
      </rPr>
      <t>              </t>
    </r>
  </si>
  <si>
    <t>3.1.             Los Estados Financieros al 31/12/2021, han sido preparados de acuerdo de acuerdo con Normas de Información Financiera emitidas por el Consejo de Contadores Públicos del Paraguay y
criterios de valuación y exposición dictados por la Comisión Nacional de Valores.</t>
  </si>
  <si>
    <t xml:space="preserve">Instalaciones                                     </t>
  </si>
  <si>
    <t xml:space="preserve">Mejoras en Predio Ajeno                           </t>
  </si>
  <si>
    <t xml:space="preserve">Vision Banco Cta. Cte. 1702601/3                  </t>
  </si>
  <si>
    <t xml:space="preserve">Banco Vision Caja de Ahorro USD 17165774          </t>
  </si>
  <si>
    <t xml:space="preserve">Recaudaciones pendientes /*Clearing                 </t>
  </si>
  <si>
    <t>    Criterios específicos de valuación.</t>
  </si>
  <si>
    <t>Efectivo neto de actividades de operación</t>
  </si>
  <si>
    <t>ESTADO DE VARIACION DEL PATRIMONIO NETO</t>
  </si>
  <si>
    <t>BIX S.A.</t>
  </si>
  <si>
    <t>Intereses Pagados Repo</t>
  </si>
  <si>
    <t>Aguinaldos a pagar</t>
  </si>
  <si>
    <t>Bonos Entregados en REPO Gs.</t>
  </si>
  <si>
    <t>Gastos pagados por adelantado</t>
  </si>
  <si>
    <t xml:space="preserve">Luciano Britez                                    </t>
  </si>
  <si>
    <t>FERNANDO MANUEL GIMÉNEZ MARIMÓN</t>
  </si>
  <si>
    <t>RODRIGO CALLIZO LOPEZ MOREIRA</t>
  </si>
  <si>
    <t>JAVIER ALEJANDRO FELICIANGELI DOMANICZKY</t>
  </si>
  <si>
    <t>Director Titular:</t>
  </si>
  <si>
    <t xml:space="preserve">SERGIO A.CABRERA RICCIARDI </t>
  </si>
  <si>
    <t xml:space="preserve">DORA BUSTO DE ARZAMENDIA </t>
  </si>
  <si>
    <t>FERNANDO MANUEL GIMÉNEZ MARIMÓN:</t>
  </si>
  <si>
    <t>JAVIER ALEJANDRO FELICIANGELI DOMANICZKY:</t>
  </si>
  <si>
    <t>5)</t>
  </si>
  <si>
    <t>Forma Comparativa de la situación patrimonial</t>
  </si>
  <si>
    <t>ESTADO DE SITUACION PATRIMONIAL O BALANCE GENERAL al 30/06/2022 presentado en forma comparativa con el ejercicio anterior cerrado el 31/12/2021.  (En guaraníes)</t>
  </si>
  <si>
    <t xml:space="preserve">Los Estados Contables al 30/06/2022 han sido considerados y aprobados por la Asamblea General de Accionistas conforme Acta de Asamblea  Ordinaria de fecha  03 de marzo de 2022, para su remisión a la Comisión Nacional de Valores. </t>
  </si>
  <si>
    <t>ESTADO DE RESULTADOS CORRESPONDIENTE AL 30/06/2022 PRESENTADO EN FORMA COMPARATIVA CON EL 30/06/2021.** (En guaraníes)</t>
  </si>
  <si>
    <t>** Se comprara con los datos al 31/12/2021, ASU CAPITAL cbsa fue aprobada el 08/10/2021, no existen datos al 30/06/2021</t>
  </si>
  <si>
    <t>CORRESPONDIENTE AL 30/06/2022 PRESENTADO EN FORMA COMPARATIVA CON EL PERIODO AL 30/06/2021 **</t>
  </si>
  <si>
    <t xml:space="preserve">ESTADO DE FLUJO DE EFECTIVOS </t>
  </si>
  <si>
    <t xml:space="preserve">Los Estados Financieros se realizan de forma comparativa, con el ejercicio anterior cerrado al 31-12-2021, considerando que en este mismo periodo del año anterior 30-06-2021, no se encontraba constituida la Casa de Bolsa . </t>
  </si>
  <si>
    <t xml:space="preserve">Cuentas a Cobrar                                  </t>
  </si>
  <si>
    <t>Juan Carlos Guillen</t>
  </si>
  <si>
    <t>Fibase S.R.L.</t>
  </si>
  <si>
    <t>Solution &amp; Shine S.A.</t>
  </si>
  <si>
    <t>Avalon Casa De Bolsa S.A</t>
  </si>
  <si>
    <t>Intereses cobrados Repo</t>
  </si>
  <si>
    <t>Recupero BVA</t>
  </si>
  <si>
    <t>Vision Banco Cta. Cte. 900623592</t>
  </si>
  <si>
    <t>Fondos Anticipado - Clearing U$</t>
  </si>
  <si>
    <t>GASTOS DE VENTAS</t>
  </si>
  <si>
    <t>MARIA CRISTINA TROCHE NUÑEZ</t>
  </si>
  <si>
    <t>PCG Auditores y Consultores</t>
  </si>
  <si>
    <t>80020816-1</t>
  </si>
  <si>
    <t>AE041</t>
  </si>
  <si>
    <t>Procer Agustin Yegros 627 c/ Rio Tebicuary</t>
  </si>
  <si>
    <t>(021) 203-965 / 203- 913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</si>
</sst>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64" formatCode="_-* #,##0.00_-;\-* #,##0.00_-;_-* &quot;-&quot;??_-;_-@_-"/>
    <numFmt numFmtId="165" formatCode="_-* #,##0_-;\-* #,##0_-;_-* &quot;-&quot;??_-;_-@_-"/>
    <numFmt numFmtId="166" formatCode="_(* #,##0.00_);_(* \(#,##0.00\);_(* \-??_);_(@_)"/>
    <numFmt numFmtId="167" formatCode="_-* #,##0.00\ _€_-;\-* #,##0.00\ _€_-;_-* &quot;-&quot;??\ _€_-;_-@_-"/>
    <numFmt numFmtId="168" formatCode="&quot;₲&quot;\ #,##0"/>
  </numFmts>
  <fonts count="98">
    <font>
      <sz val="11"/>
      <color theme="1"/>
      <name val="Calibri"/>
      <family val="2"/>
      <scheme val="minor"/>
    </font>
    <font>
      <b/>
      <sz val="9"/>
      <color indexed="8"/>
      <name val="Arial"/>
      <family val="2"/>
    </font>
    <font>
      <sz val="9"/>
      <color indexed="8"/>
      <name val="Arial"/>
      <family val="2"/>
    </font>
    <font>
      <b/>
      <sz val="9"/>
      <name val="Arial"/>
      <family val="2"/>
    </font>
    <font>
      <b/>
      <sz val="10"/>
      <color indexed="8"/>
      <name val="Calibri"/>
      <family val="2"/>
    </font>
    <font>
      <sz val="10"/>
      <color indexed="8"/>
      <name val="Calibri"/>
      <family val="2"/>
    </font>
    <font>
      <b/>
      <sz val="7"/>
      <color indexed="8"/>
      <name val="Times New Roman"/>
      <family val="1"/>
    </font>
    <font>
      <sz val="9"/>
      <name val="Arial"/>
      <family val="2"/>
    </font>
    <font>
      <sz val="10"/>
      <name val="Arial"/>
      <family val="2"/>
    </font>
    <font>
      <sz val="10"/>
      <name val="Calibri"/>
      <family val="2"/>
    </font>
    <font>
      <sz val="11"/>
      <name val="Calibri"/>
      <family val="2"/>
    </font>
    <font>
      <sz val="9"/>
      <name val="Calibri"/>
      <family val="2"/>
    </font>
    <font>
      <b/>
      <u/>
      <sz val="9"/>
      <name val="Calibri"/>
      <family val="2"/>
    </font>
    <font>
      <sz val="11"/>
      <color indexed="8"/>
      <name val="Calibri"/>
      <family val="2"/>
      <charset val="1"/>
    </font>
    <font>
      <sz val="11"/>
      <color theme="1"/>
      <name val="Calibri"/>
      <family val="2"/>
      <scheme val="minor"/>
    </font>
    <font>
      <b/>
      <sz val="11"/>
      <color theme="1"/>
      <name val="Calibri"/>
      <family val="2"/>
      <scheme val="minor"/>
    </font>
    <font>
      <sz val="9"/>
      <color theme="1"/>
      <name val="Calibri"/>
      <family val="2"/>
    </font>
    <font>
      <sz val="10"/>
      <color theme="1"/>
      <name val="Times New Roman"/>
      <family val="1"/>
    </font>
    <font>
      <sz val="8"/>
      <color theme="1"/>
      <name val="Calibri"/>
      <family val="2"/>
    </font>
    <font>
      <b/>
      <sz val="7"/>
      <color theme="1"/>
      <name val="Arial"/>
      <family val="2"/>
    </font>
    <font>
      <b/>
      <sz val="9"/>
      <color theme="1"/>
      <name val="Arial"/>
      <family val="2"/>
    </font>
    <font>
      <sz val="9"/>
      <color theme="1"/>
      <name val="Arial"/>
      <family val="2"/>
    </font>
    <font>
      <sz val="9"/>
      <color theme="1"/>
      <name val="Calibri"/>
      <family val="2"/>
      <scheme val="minor"/>
    </font>
    <font>
      <sz val="12"/>
      <color theme="1"/>
      <name val="Calibri"/>
      <family val="2"/>
      <scheme val="minor"/>
    </font>
    <font>
      <b/>
      <sz val="11"/>
      <color theme="1"/>
      <name val="Calibri"/>
      <family val="2"/>
    </font>
    <font>
      <sz val="11"/>
      <color theme="1"/>
      <name val="Calibri"/>
      <family val="2"/>
    </font>
    <font>
      <sz val="8"/>
      <color rgb="FF000000"/>
      <name val="Calibri"/>
      <family val="2"/>
    </font>
    <font>
      <b/>
      <sz val="10"/>
      <color theme="1"/>
      <name val="Calibri"/>
      <family val="2"/>
    </font>
    <font>
      <sz val="12"/>
      <color theme="1"/>
      <name val="Calibri"/>
      <family val="2"/>
    </font>
    <font>
      <b/>
      <sz val="12"/>
      <color theme="1"/>
      <name val="Calibri"/>
      <family val="2"/>
    </font>
    <font>
      <sz val="10"/>
      <color theme="1"/>
      <name val="Calibri"/>
      <family val="2"/>
    </font>
    <font>
      <b/>
      <sz val="10"/>
      <color rgb="FF000000"/>
      <name val="Calibri"/>
      <family val="2"/>
    </font>
    <font>
      <b/>
      <i/>
      <sz val="10"/>
      <color theme="1"/>
      <name val="Calibri"/>
      <family val="2"/>
    </font>
    <font>
      <sz val="10"/>
      <color rgb="FFFF0000"/>
      <name val="Calibri"/>
      <family val="2"/>
      <scheme val="minor"/>
    </font>
    <font>
      <sz val="10"/>
      <color theme="1"/>
      <name val="Calibri"/>
      <family val="2"/>
      <scheme val="minor"/>
    </font>
    <font>
      <sz val="11"/>
      <name val="Calibri"/>
      <family val="2"/>
      <scheme val="minor"/>
    </font>
    <font>
      <sz val="9"/>
      <name val="Calibri"/>
      <family val="2"/>
      <scheme val="minor"/>
    </font>
    <font>
      <b/>
      <u/>
      <sz val="9"/>
      <color theme="1"/>
      <name val="Calibri"/>
      <family val="2"/>
    </font>
    <font>
      <b/>
      <sz val="11"/>
      <color rgb="FFFF0000"/>
      <name val="Calibri"/>
      <family val="2"/>
      <scheme val="minor"/>
    </font>
    <font>
      <sz val="11"/>
      <color rgb="FFFF0000"/>
      <name val="Calibri"/>
      <family val="2"/>
      <scheme val="minor"/>
    </font>
    <font>
      <sz val="11"/>
      <color theme="0"/>
      <name val="Calibri"/>
      <family val="2"/>
      <scheme val="minor"/>
    </font>
    <font>
      <b/>
      <sz val="10"/>
      <color theme="0"/>
      <name val="Calibri"/>
      <family val="2"/>
    </font>
    <font>
      <b/>
      <sz val="11"/>
      <color theme="0"/>
      <name val="Calibri"/>
      <family val="2"/>
      <scheme val="minor"/>
    </font>
    <font>
      <b/>
      <u/>
      <sz val="11"/>
      <color theme="0"/>
      <name val="Calibri"/>
      <family val="2"/>
    </font>
    <font>
      <b/>
      <sz val="11"/>
      <color theme="0"/>
      <name val="Calibri"/>
      <family val="2"/>
    </font>
    <font>
      <b/>
      <u/>
      <sz val="10"/>
      <color theme="0"/>
      <name val="Calibri"/>
      <family val="2"/>
    </font>
    <font>
      <b/>
      <sz val="8"/>
      <color theme="1"/>
      <name val="Calibri"/>
      <family val="2"/>
    </font>
    <font>
      <b/>
      <sz val="8"/>
      <color theme="0"/>
      <name val="Calibri"/>
      <family val="2"/>
    </font>
    <font>
      <sz val="7"/>
      <color theme="1"/>
      <name val="Calibri"/>
      <family val="2"/>
    </font>
    <font>
      <b/>
      <sz val="8"/>
      <color rgb="FF000000"/>
      <name val="Calibri"/>
      <family val="2"/>
    </font>
    <font>
      <sz val="8"/>
      <color theme="1"/>
      <name val="Calibri"/>
      <family val="2"/>
      <scheme val="minor"/>
    </font>
    <font>
      <b/>
      <sz val="9"/>
      <color theme="0"/>
      <name val="Calibri"/>
      <family val="2"/>
    </font>
    <font>
      <b/>
      <sz val="11"/>
      <color rgb="FF000000"/>
      <name val="Calibri"/>
      <family val="2"/>
    </font>
    <font>
      <sz val="10"/>
      <color rgb="FF000000"/>
      <name val="Calibri"/>
      <family val="2"/>
    </font>
    <font>
      <i/>
      <sz val="10"/>
      <color rgb="FF000000"/>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i/>
      <sz val="11"/>
      <color rgb="FF000000"/>
      <name val="Calibri"/>
      <family val="2"/>
      <scheme val="minor"/>
    </font>
    <font>
      <i/>
      <sz val="11"/>
      <color rgb="FF000000"/>
      <name val="Calibri"/>
      <family val="2"/>
      <scheme val="minor"/>
    </font>
    <font>
      <b/>
      <sz val="11"/>
      <color rgb="FF000000"/>
      <name val="Calibri"/>
      <family val="2"/>
      <scheme val="minor"/>
    </font>
    <font>
      <sz val="9"/>
      <color theme="1"/>
      <name val="EYInterstate Light"/>
    </font>
    <font>
      <b/>
      <sz val="9"/>
      <color theme="1"/>
      <name val="Calibri"/>
      <family val="2"/>
      <scheme val="minor"/>
    </font>
    <font>
      <sz val="9"/>
      <color theme="0"/>
      <name val="Calibri"/>
      <family val="2"/>
    </font>
    <font>
      <b/>
      <sz val="9"/>
      <color theme="0"/>
      <name val="Arial"/>
      <family val="2"/>
    </font>
    <font>
      <b/>
      <sz val="11"/>
      <color theme="1"/>
      <name val="Arial"/>
      <family val="2"/>
    </font>
    <font>
      <sz val="10"/>
      <color theme="0"/>
      <name val="Calibri"/>
      <family val="2"/>
    </font>
    <font>
      <b/>
      <sz val="12"/>
      <color theme="0"/>
      <name val="Calibri"/>
      <family val="2"/>
    </font>
    <font>
      <b/>
      <sz val="10"/>
      <name val="Calibri"/>
      <family val="2"/>
    </font>
    <font>
      <b/>
      <sz val="12"/>
      <name val="Calibri"/>
      <family val="2"/>
    </font>
    <font>
      <b/>
      <sz val="11"/>
      <name val="Calibri"/>
      <family val="2"/>
    </font>
    <font>
      <b/>
      <sz val="7"/>
      <name val="Times New Roman"/>
      <family val="1"/>
    </font>
    <font>
      <b/>
      <u/>
      <sz val="11"/>
      <name val="Calibri"/>
      <family val="2"/>
    </font>
    <font>
      <sz val="11"/>
      <color theme="0"/>
      <name val="Arial Nova"/>
      <family val="2"/>
    </font>
    <font>
      <b/>
      <sz val="16"/>
      <color theme="0"/>
      <name val="Arial Nova"/>
      <family val="2"/>
    </font>
    <font>
      <u/>
      <sz val="14"/>
      <color theme="0"/>
      <name val="Arial Nova"/>
      <family val="2"/>
    </font>
    <font>
      <sz val="11"/>
      <color theme="0"/>
      <name val="Museo Sans 100"/>
      <family val="3"/>
    </font>
    <font>
      <b/>
      <sz val="11"/>
      <color theme="1"/>
      <name val="Museo Sans 100"/>
      <family val="3"/>
    </font>
    <font>
      <b/>
      <sz val="9"/>
      <color theme="1"/>
      <name val="Arial Nova"/>
      <family val="2"/>
    </font>
    <font>
      <sz val="9"/>
      <color theme="1"/>
      <name val="Arial Nova"/>
      <family val="2"/>
    </font>
    <font>
      <b/>
      <sz val="11"/>
      <color theme="1"/>
      <name val="Arial Nova"/>
      <family val="2"/>
    </font>
    <font>
      <sz val="11"/>
      <color theme="1"/>
      <name val="Arial Nova"/>
      <family val="2"/>
    </font>
    <font>
      <b/>
      <sz val="10"/>
      <color theme="1"/>
      <name val="Arial Nova"/>
      <family val="2"/>
    </font>
    <font>
      <b/>
      <sz val="10"/>
      <color indexed="8"/>
      <name val="Arial Nova"/>
      <family val="2"/>
    </font>
    <font>
      <sz val="10"/>
      <color theme="1"/>
      <name val="Arial Nova"/>
      <family val="2"/>
    </font>
    <font>
      <b/>
      <u/>
      <sz val="10"/>
      <color theme="1"/>
      <name val="Arial Nova"/>
      <family val="2"/>
    </font>
    <font>
      <sz val="10"/>
      <color indexed="8"/>
      <name val="Arial Nova"/>
      <family val="2"/>
    </font>
    <font>
      <sz val="10"/>
      <name val="Arial Nova"/>
      <family val="2"/>
    </font>
    <font>
      <b/>
      <sz val="10"/>
      <name val="Arial Nova"/>
      <family val="2"/>
    </font>
    <font>
      <sz val="8"/>
      <color theme="1"/>
      <name val="Arial Nova"/>
      <family val="2"/>
    </font>
    <font>
      <b/>
      <i/>
      <sz val="10"/>
      <color theme="1"/>
      <name val="Arial Nova"/>
      <family val="2"/>
    </font>
    <font>
      <i/>
      <sz val="10"/>
      <color indexed="8"/>
      <name val="Arial Nova"/>
      <family val="2"/>
    </font>
    <font>
      <b/>
      <sz val="9"/>
      <color theme="0"/>
      <name val="Arial Nova"/>
      <family val="2"/>
    </font>
    <font>
      <b/>
      <sz val="8"/>
      <color theme="0"/>
      <name val="Arial Nova"/>
      <family val="2"/>
    </font>
    <font>
      <sz val="7"/>
      <color theme="1"/>
      <name val="Arial Nova"/>
      <family val="2"/>
    </font>
    <font>
      <b/>
      <sz val="8"/>
      <color theme="1"/>
      <name val="Arial Nova"/>
      <family val="2"/>
    </font>
    <font>
      <b/>
      <u/>
      <sz val="10"/>
      <color theme="0"/>
      <name val="Arial Nova"/>
      <family val="2"/>
    </font>
  </fonts>
  <fills count="10">
    <fill>
      <patternFill patternType="none"/>
    </fill>
    <fill>
      <patternFill patternType="gray125"/>
    </fill>
    <fill>
      <patternFill patternType="solid">
        <fgColor theme="4" tint="-0.249977111117893"/>
        <bgColor indexed="64"/>
      </patternFill>
    </fill>
    <fill>
      <patternFill patternType="gray125">
        <bgColor theme="4" tint="-0.249977111117893"/>
      </patternFill>
    </fill>
    <fill>
      <patternFill patternType="solid">
        <fgColor rgb="FFF2F2F2"/>
        <bgColor indexed="64"/>
      </patternFill>
    </fill>
    <fill>
      <patternFill patternType="gray125">
        <bgColor theme="0" tint="-4.9989318521683403E-2"/>
      </patternFill>
    </fill>
    <fill>
      <patternFill patternType="solid">
        <fgColor theme="0" tint="-4.9989318521683403E-2"/>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3" fillId="0" borderId="0"/>
    <xf numFmtId="164" fontId="14" fillId="0" borderId="0" applyFont="0" applyFill="0" applyBorder="0" applyAlignment="0" applyProtection="0"/>
    <xf numFmtId="41" fontId="14" fillId="0" borderId="0" applyFont="0" applyFill="0" applyBorder="0" applyAlignment="0" applyProtection="0"/>
    <xf numFmtId="166" fontId="8" fillId="0" borderId="0" applyFill="0" applyBorder="0" applyAlignment="0" applyProtection="0"/>
    <xf numFmtId="167" fontId="14" fillId="0" borderId="0" applyFont="0" applyFill="0" applyBorder="0" applyAlignment="0" applyProtection="0"/>
    <xf numFmtId="0" fontId="8" fillId="0" borderId="0"/>
    <xf numFmtId="9" fontId="14" fillId="0" borderId="0" applyFont="0" applyFill="0" applyBorder="0" applyAlignment="0" applyProtection="0"/>
  </cellStyleXfs>
  <cellXfs count="467">
    <xf numFmtId="0" fontId="0" fillId="0" borderId="0" xfId="0"/>
    <xf numFmtId="0" fontId="15" fillId="0" borderId="0" xfId="0" applyFont="1"/>
    <xf numFmtId="0" fontId="16" fillId="0" borderId="0" xfId="0" applyFont="1" applyAlignment="1">
      <alignment horizontal="left" vertical="center" indent="5"/>
    </xf>
    <xf numFmtId="0" fontId="17" fillId="0" borderId="0" xfId="0" applyFont="1" applyAlignment="1">
      <alignment vertical="center" wrapText="1"/>
    </xf>
    <xf numFmtId="0" fontId="19" fillId="0" borderId="0" xfId="0" applyFont="1"/>
    <xf numFmtId="0" fontId="20" fillId="0" borderId="2" xfId="0" applyFont="1" applyBorder="1" applyAlignment="1">
      <alignment vertical="center" wrapText="1"/>
    </xf>
    <xf numFmtId="0" fontId="21" fillId="0" borderId="2" xfId="0" applyFont="1" applyBorder="1" applyAlignment="1">
      <alignment vertical="center" wrapText="1"/>
    </xf>
    <xf numFmtId="0" fontId="22" fillId="0" borderId="2" xfId="0" applyFont="1" applyBorder="1" applyAlignment="1">
      <alignment vertical="top" wrapText="1"/>
    </xf>
    <xf numFmtId="3" fontId="3" fillId="0" borderId="3" xfId="0" applyNumberFormat="1" applyFont="1" applyBorder="1" applyAlignment="1">
      <alignment horizontal="right" vertical="center" wrapText="1"/>
    </xf>
    <xf numFmtId="0" fontId="19" fillId="0" borderId="0" xfId="0" applyFont="1" applyAlignment="1">
      <alignment horizontal="center"/>
    </xf>
    <xf numFmtId="0" fontId="23" fillId="0" borderId="0" xfId="0" applyFont="1"/>
    <xf numFmtId="0" fontId="25" fillId="0" borderId="0" xfId="0" applyFont="1" applyAlignment="1">
      <alignment horizontal="justify" vertical="center"/>
    </xf>
    <xf numFmtId="0" fontId="26" fillId="0" borderId="0" xfId="0" applyFont="1" applyBorder="1" applyAlignment="1">
      <alignment horizontal="left" vertical="center" wrapText="1"/>
    </xf>
    <xf numFmtId="4" fontId="18" fillId="0" borderId="0"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0" fillId="0" borderId="0" xfId="0" applyAlignment="1"/>
    <xf numFmtId="0" fontId="24" fillId="0" borderId="0" xfId="0" applyFont="1" applyBorder="1" applyAlignment="1">
      <alignment horizontal="right" vertical="center"/>
    </xf>
    <xf numFmtId="0" fontId="20" fillId="0" borderId="4" xfId="0" applyFont="1" applyBorder="1" applyAlignment="1">
      <alignment vertical="center" wrapText="1"/>
    </xf>
    <xf numFmtId="165" fontId="14" fillId="0" borderId="0" xfId="2" applyNumberFormat="1" applyFont="1" applyAlignment="1">
      <alignment horizontal="center" vertical="center"/>
    </xf>
    <xf numFmtId="3" fontId="0" fillId="0" borderId="0" xfId="0" applyNumberFormat="1"/>
    <xf numFmtId="3" fontId="7" fillId="0" borderId="3" xfId="0" applyNumberFormat="1" applyFont="1" applyBorder="1" applyAlignment="1">
      <alignment horizontal="right" vertical="center" wrapText="1"/>
    </xf>
    <xf numFmtId="0" fontId="0" fillId="0" borderId="0" xfId="0" applyBorder="1"/>
    <xf numFmtId="0" fontId="28" fillId="0" borderId="0" xfId="0" applyFont="1" applyBorder="1" applyAlignment="1">
      <alignment horizontal="right" vertical="center"/>
    </xf>
    <xf numFmtId="3" fontId="29" fillId="0" borderId="0" xfId="0" applyNumberFormat="1" applyFont="1" applyBorder="1" applyAlignment="1">
      <alignment horizontal="right" vertical="center"/>
    </xf>
    <xf numFmtId="0" fontId="25" fillId="0" borderId="0" xfId="0" applyFont="1" applyBorder="1" applyAlignment="1">
      <alignment horizontal="right" vertical="center"/>
    </xf>
    <xf numFmtId="0" fontId="30" fillId="0" borderId="0" xfId="0" applyFont="1" applyBorder="1" applyAlignment="1">
      <alignment horizontal="right" vertical="center"/>
    </xf>
    <xf numFmtId="0" fontId="27" fillId="0" borderId="0" xfId="0" applyFont="1" applyBorder="1" applyAlignment="1">
      <alignment horizontal="right" vertical="center"/>
    </xf>
    <xf numFmtId="0" fontId="0" fillId="0" borderId="0" xfId="0" applyFill="1"/>
    <xf numFmtId="0" fontId="24" fillId="0" borderId="0" xfId="0" applyFont="1" applyFill="1" applyBorder="1" applyAlignment="1">
      <alignment horizontal="justify" vertical="center"/>
    </xf>
    <xf numFmtId="0" fontId="0" fillId="0" borderId="0" xfId="0" applyFill="1" applyBorder="1"/>
    <xf numFmtId="0" fontId="27"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0" fillId="0" borderId="0" xfId="0" applyFont="1" applyFill="1" applyBorder="1" applyAlignment="1">
      <alignment vertical="center"/>
    </xf>
    <xf numFmtId="0" fontId="30" fillId="0" borderId="0" xfId="0" applyFont="1" applyFill="1" applyBorder="1" applyAlignment="1">
      <alignment horizontal="right" vertical="center"/>
    </xf>
    <xf numFmtId="0" fontId="30" fillId="0" borderId="0" xfId="0" applyFont="1" applyFill="1" applyBorder="1" applyAlignment="1">
      <alignment horizontal="right" vertical="center" wrapTex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27" fillId="0" borderId="0" xfId="0" applyFont="1" applyFill="1" applyBorder="1" applyAlignment="1">
      <alignment horizontal="right" vertical="center" wrapText="1"/>
    </xf>
    <xf numFmtId="165" fontId="14" fillId="0" borderId="0" xfId="2" applyNumberFormat="1" applyFont="1"/>
    <xf numFmtId="165" fontId="0" fillId="0" borderId="0" xfId="0" applyNumberFormat="1"/>
    <xf numFmtId="0" fontId="33" fillId="0" borderId="0" xfId="0" applyFont="1"/>
    <xf numFmtId="0" fontId="34" fillId="0" borderId="0" xfId="0" applyFont="1"/>
    <xf numFmtId="165" fontId="34" fillId="0" borderId="0" xfId="2" applyNumberFormat="1" applyFont="1"/>
    <xf numFmtId="164" fontId="30" fillId="0" borderId="0" xfId="2" applyFont="1" applyBorder="1" applyAlignment="1">
      <alignment horizontal="right" vertical="center"/>
    </xf>
    <xf numFmtId="164" fontId="27" fillId="0" borderId="0" xfId="2" applyFont="1" applyBorder="1" applyAlignment="1">
      <alignment horizontal="right" vertical="center"/>
    </xf>
    <xf numFmtId="0" fontId="30" fillId="0" borderId="0" xfId="0" applyFont="1" applyBorder="1" applyAlignment="1">
      <alignment horizontal="right" vertical="center" wrapText="1"/>
    </xf>
    <xf numFmtId="0" fontId="27" fillId="0" borderId="0" xfId="0" applyFont="1" applyBorder="1" applyAlignment="1">
      <alignment horizontal="right" vertical="center" wrapText="1"/>
    </xf>
    <xf numFmtId="0" fontId="34" fillId="0" borderId="0" xfId="0" applyFont="1" applyBorder="1"/>
    <xf numFmtId="0" fontId="27" fillId="0" borderId="0" xfId="0" applyFont="1" applyBorder="1" applyAlignment="1">
      <alignment vertical="center"/>
    </xf>
    <xf numFmtId="0" fontId="35" fillId="0" borderId="0" xfId="0" applyFont="1"/>
    <xf numFmtId="0" fontId="7" fillId="0" borderId="6" xfId="0" applyFont="1" applyBorder="1" applyAlignment="1">
      <alignment horizontal="righ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7" fillId="0" borderId="0" xfId="0" applyFont="1" applyBorder="1" applyAlignment="1">
      <alignment vertical="center" wrapText="1"/>
    </xf>
    <xf numFmtId="0" fontId="7" fillId="0" borderId="3" xfId="0" applyFont="1" applyBorder="1" applyAlignment="1">
      <alignment horizontal="right" vertical="center" wrapText="1"/>
    </xf>
    <xf numFmtId="0" fontId="7" fillId="0" borderId="3" xfId="0" applyFont="1" applyBorder="1" applyAlignment="1">
      <alignment vertical="center" wrapText="1"/>
    </xf>
    <xf numFmtId="0" fontId="36" fillId="0" borderId="0" xfId="0" applyFont="1" applyBorder="1" applyAlignment="1">
      <alignment vertical="top" wrapText="1"/>
    </xf>
    <xf numFmtId="0" fontId="36" fillId="0" borderId="3" xfId="0" applyFont="1" applyBorder="1" applyAlignment="1">
      <alignment vertical="top" wrapText="1"/>
    </xf>
    <xf numFmtId="0" fontId="3" fillId="0" borderId="2" xfId="0" applyFont="1" applyBorder="1" applyAlignment="1">
      <alignment vertical="center" wrapText="1"/>
    </xf>
    <xf numFmtId="3" fontId="35" fillId="0" borderId="0" xfId="0" applyNumberFormat="1" applyFont="1"/>
    <xf numFmtId="0" fontId="37" fillId="0" borderId="8" xfId="0" applyFont="1" applyBorder="1" applyAlignment="1">
      <alignment vertical="center" wrapText="1"/>
    </xf>
    <xf numFmtId="0" fontId="12" fillId="0" borderId="1" xfId="0" applyFont="1" applyBorder="1" applyAlignment="1">
      <alignment vertical="center" wrapText="1"/>
    </xf>
    <xf numFmtId="0" fontId="16" fillId="0" borderId="10" xfId="0" applyFont="1" applyBorder="1" applyAlignment="1">
      <alignment vertical="center" wrapText="1"/>
    </xf>
    <xf numFmtId="41" fontId="11" fillId="0" borderId="11" xfId="3" applyFont="1" applyBorder="1" applyAlignment="1">
      <alignment vertical="center" wrapText="1"/>
    </xf>
    <xf numFmtId="0" fontId="11" fillId="0" borderId="11" xfId="0" applyFont="1" applyBorder="1" applyAlignment="1">
      <alignment vertical="center" wrapText="1"/>
    </xf>
    <xf numFmtId="0" fontId="16" fillId="0" borderId="12" xfId="0" applyFont="1" applyBorder="1" applyAlignment="1">
      <alignment vertical="center" wrapText="1"/>
    </xf>
    <xf numFmtId="41" fontId="11" fillId="0" borderId="13" xfId="3"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29" fillId="0" borderId="0" xfId="0" applyFont="1" applyAlignment="1">
      <alignment horizontal="center" vertical="center"/>
    </xf>
    <xf numFmtId="0" fontId="32" fillId="0" borderId="0" xfId="0" applyFont="1" applyFill="1" applyBorder="1" applyAlignment="1">
      <alignment horizontal="right" vertical="center"/>
    </xf>
    <xf numFmtId="0" fontId="38" fillId="0" borderId="0" xfId="0" applyFont="1" applyFill="1"/>
    <xf numFmtId="0" fontId="39" fillId="0" borderId="0" xfId="0" applyFont="1" applyFill="1"/>
    <xf numFmtId="3" fontId="3" fillId="0" borderId="3" xfId="0" applyNumberFormat="1" applyFont="1" applyFill="1" applyBorder="1" applyAlignment="1">
      <alignment horizontal="right" vertical="center" wrapText="1"/>
    </xf>
    <xf numFmtId="3" fontId="34" fillId="0" borderId="0" xfId="0" applyNumberFormat="1" applyFont="1"/>
    <xf numFmtId="0" fontId="40" fillId="0" borderId="0" xfId="0" applyFont="1"/>
    <xf numFmtId="165" fontId="34" fillId="0" borderId="0" xfId="0" applyNumberFormat="1" applyFont="1"/>
    <xf numFmtId="1" fontId="34" fillId="0" borderId="0" xfId="0" applyNumberFormat="1" applyFont="1"/>
    <xf numFmtId="0" fontId="29" fillId="0" borderId="0" xfId="0" applyFont="1" applyAlignment="1">
      <alignment horizontal="center" vertical="center"/>
    </xf>
    <xf numFmtId="3" fontId="0" fillId="0" borderId="1" xfId="0" applyNumberFormat="1" applyBorder="1"/>
    <xf numFmtId="0" fontId="25" fillId="0" borderId="1" xfId="0" applyFont="1" applyBorder="1" applyAlignment="1">
      <alignment vertical="center"/>
    </xf>
    <xf numFmtId="165" fontId="25" fillId="0" borderId="1" xfId="2" applyNumberFormat="1" applyFont="1" applyFill="1" applyBorder="1" applyAlignment="1">
      <alignment horizontal="right" vertical="center"/>
    </xf>
    <xf numFmtId="0" fontId="24" fillId="0" borderId="1" xfId="0" applyFont="1" applyBorder="1" applyAlignment="1">
      <alignment vertical="center"/>
    </xf>
    <xf numFmtId="165" fontId="24" fillId="0" borderId="1" xfId="2" applyNumberFormat="1" applyFont="1" applyBorder="1" applyAlignment="1">
      <alignment horizontal="right" vertical="center"/>
    </xf>
    <xf numFmtId="3" fontId="0" fillId="0" borderId="1" xfId="0" applyNumberFormat="1" applyBorder="1" applyAlignment="1">
      <alignment wrapText="1"/>
    </xf>
    <xf numFmtId="165" fontId="30" fillId="0" borderId="1" xfId="2" applyNumberFormat="1" applyFont="1" applyFill="1" applyBorder="1" applyAlignment="1">
      <alignment horizontal="right" vertical="center"/>
    </xf>
    <xf numFmtId="0" fontId="0" fillId="0" borderId="0" xfId="0"/>
    <xf numFmtId="0" fontId="19" fillId="0" borderId="0" xfId="0" applyFont="1" applyAlignment="1">
      <alignment horizontal="center" vertical="center"/>
    </xf>
    <xf numFmtId="0" fontId="19" fillId="0" borderId="0" xfId="0" applyFont="1" applyBorder="1" applyAlignment="1">
      <alignment horizontal="center" vertical="center"/>
    </xf>
    <xf numFmtId="0" fontId="24" fillId="0" borderId="0" xfId="0" applyFont="1" applyAlignment="1">
      <alignment vertical="center"/>
    </xf>
    <xf numFmtId="0" fontId="41" fillId="2" borderId="16" xfId="0" applyFont="1" applyFill="1" applyBorder="1" applyAlignment="1">
      <alignment horizontal="center" vertical="center"/>
    </xf>
    <xf numFmtId="0" fontId="42" fillId="2" borderId="1" xfId="0" applyFont="1" applyFill="1" applyBorder="1" applyAlignment="1">
      <alignment horizontal="center" wrapText="1"/>
    </xf>
    <xf numFmtId="0" fontId="25" fillId="0" borderId="1" xfId="0" applyFont="1" applyBorder="1" applyAlignment="1">
      <alignment horizontal="justify" vertical="center" wrapText="1"/>
    </xf>
    <xf numFmtId="3" fontId="25" fillId="0" borderId="1" xfId="0" applyNumberFormat="1" applyFont="1" applyFill="1" applyBorder="1" applyAlignment="1">
      <alignment horizontal="right" vertical="center" wrapText="1"/>
    </xf>
    <xf numFmtId="3" fontId="25" fillId="0" borderId="1" xfId="0" applyNumberFormat="1" applyFont="1" applyBorder="1" applyAlignment="1">
      <alignment horizontal="right" vertical="center" wrapText="1"/>
    </xf>
    <xf numFmtId="0" fontId="24" fillId="0" borderId="1" xfId="0" applyFont="1" applyBorder="1" applyAlignment="1">
      <alignment horizontal="justify" vertical="center" wrapText="1"/>
    </xf>
    <xf numFmtId="3" fontId="24" fillId="0" borderId="1" xfId="0" applyNumberFormat="1" applyFont="1" applyFill="1" applyBorder="1" applyAlignment="1">
      <alignment horizontal="right" vertical="center" wrapText="1"/>
    </xf>
    <xf numFmtId="3" fontId="24" fillId="0" borderId="1" xfId="0" applyNumberFormat="1" applyFont="1" applyBorder="1" applyAlignment="1">
      <alignment horizontal="right" vertical="center" wrapText="1"/>
    </xf>
    <xf numFmtId="0" fontId="43" fillId="2" borderId="1"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right" vertical="center" wrapText="1"/>
    </xf>
    <xf numFmtId="0" fontId="24" fillId="0" borderId="1" xfId="0" applyFont="1" applyBorder="1" applyAlignment="1">
      <alignment horizontal="right" vertical="center" wrapText="1"/>
    </xf>
    <xf numFmtId="0" fontId="25" fillId="0" borderId="1" xfId="0" applyFont="1" applyFill="1" applyBorder="1" applyAlignment="1">
      <alignment horizontal="right" vertical="center" wrapText="1"/>
    </xf>
    <xf numFmtId="0" fontId="30" fillId="0" borderId="1" xfId="0" applyFont="1" applyBorder="1" applyAlignment="1">
      <alignment horizontal="justify" vertical="center" wrapText="1"/>
    </xf>
    <xf numFmtId="3" fontId="30" fillId="0" borderId="1" xfId="0" applyNumberFormat="1" applyFont="1" applyFill="1" applyBorder="1" applyAlignment="1">
      <alignment horizontal="right" vertical="center" wrapText="1"/>
    </xf>
    <xf numFmtId="3" fontId="30" fillId="0" borderId="1" xfId="0" applyNumberFormat="1" applyFont="1" applyBorder="1" applyAlignment="1">
      <alignment horizontal="right" vertical="center" wrapText="1"/>
    </xf>
    <xf numFmtId="0" fontId="30" fillId="0" borderId="1" xfId="0" applyFont="1" applyBorder="1" applyAlignment="1">
      <alignment horizontal="right" vertical="center" wrapText="1"/>
    </xf>
    <xf numFmtId="0" fontId="30" fillId="0" borderId="1" xfId="0" applyFont="1" applyFill="1" applyBorder="1" applyAlignment="1">
      <alignment horizontal="right" vertical="center" wrapText="1"/>
    </xf>
    <xf numFmtId="0" fontId="27" fillId="0" borderId="1" xfId="0" applyFont="1" applyBorder="1" applyAlignment="1">
      <alignment horizontal="justify" vertical="center" wrapText="1"/>
    </xf>
    <xf numFmtId="3" fontId="27" fillId="0" borderId="1" xfId="0" applyNumberFormat="1" applyFont="1" applyFill="1" applyBorder="1" applyAlignment="1">
      <alignment horizontal="right" vertical="center" wrapText="1"/>
    </xf>
    <xf numFmtId="3" fontId="27" fillId="0" borderId="1" xfId="0" applyNumberFormat="1" applyFont="1" applyBorder="1" applyAlignment="1">
      <alignment horizontal="right" vertical="center" wrapText="1"/>
    </xf>
    <xf numFmtId="0" fontId="45"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30" fillId="0" borderId="1" xfId="0" applyFont="1" applyBorder="1" applyAlignment="1">
      <alignment horizontal="left" vertical="center" wrapText="1"/>
    </xf>
    <xf numFmtId="165" fontId="30" fillId="0" borderId="1" xfId="2" applyNumberFormat="1" applyFont="1" applyFill="1" applyBorder="1" applyAlignment="1">
      <alignment horizontal="right" vertical="center" wrapText="1"/>
    </xf>
    <xf numFmtId="41" fontId="30" fillId="0" borderId="1" xfId="3" applyFont="1" applyFill="1" applyBorder="1" applyAlignment="1">
      <alignment horizontal="right" vertical="center" wrapText="1"/>
    </xf>
    <xf numFmtId="0" fontId="41" fillId="2" borderId="17" xfId="0" applyFont="1" applyFill="1" applyBorder="1" applyAlignment="1">
      <alignment horizontal="center" vertical="center"/>
    </xf>
    <xf numFmtId="0" fontId="41" fillId="2" borderId="1" xfId="0" applyFont="1" applyFill="1" applyBorder="1" applyAlignment="1">
      <alignment horizontal="center" vertical="center"/>
    </xf>
    <xf numFmtId="0" fontId="30" fillId="0" borderId="1" xfId="0" applyFont="1" applyBorder="1" applyAlignment="1">
      <alignment vertical="center"/>
    </xf>
    <xf numFmtId="165" fontId="30" fillId="0" borderId="1" xfId="2" applyNumberFormat="1" applyFont="1" applyBorder="1" applyAlignment="1">
      <alignment horizontal="right" vertical="center"/>
    </xf>
    <xf numFmtId="0" fontId="27" fillId="0" borderId="1" xfId="0" applyFont="1" applyBorder="1" applyAlignment="1">
      <alignment vertical="center"/>
    </xf>
    <xf numFmtId="0" fontId="41" fillId="2" borderId="1" xfId="0" applyFont="1" applyFill="1" applyBorder="1" applyAlignment="1">
      <alignment vertical="center" wrapText="1"/>
    </xf>
    <xf numFmtId="0" fontId="30" fillId="0" borderId="1" xfId="0" applyFont="1" applyBorder="1" applyAlignment="1">
      <alignment vertical="center" wrapText="1"/>
    </xf>
    <xf numFmtId="165" fontId="30" fillId="0" borderId="1" xfId="2" applyNumberFormat="1" applyFont="1" applyBorder="1" applyAlignment="1">
      <alignment horizontal="right" vertical="center" wrapText="1"/>
    </xf>
    <xf numFmtId="0" fontId="27" fillId="0" borderId="1" xfId="0" applyFont="1" applyBorder="1" applyAlignment="1">
      <alignment vertical="center" wrapText="1"/>
    </xf>
    <xf numFmtId="165" fontId="27" fillId="0" borderId="1" xfId="2" applyNumberFormat="1" applyFont="1" applyBorder="1" applyAlignment="1">
      <alignment horizontal="right" vertical="center" wrapText="1"/>
    </xf>
    <xf numFmtId="165" fontId="27" fillId="0" borderId="1" xfId="2" applyNumberFormat="1" applyFont="1" applyBorder="1" applyAlignment="1">
      <alignment horizontal="right" vertical="center"/>
    </xf>
    <xf numFmtId="0" fontId="27" fillId="0" borderId="1" xfId="0" applyFont="1" applyBorder="1" applyAlignment="1">
      <alignment horizontal="right" vertical="center" wrapText="1"/>
    </xf>
    <xf numFmtId="0" fontId="41" fillId="3" borderId="1" xfId="0" applyFont="1" applyFill="1" applyBorder="1" applyAlignment="1">
      <alignment horizontal="center" vertical="center" wrapText="1"/>
    </xf>
    <xf numFmtId="0" fontId="44" fillId="2" borderId="1" xfId="0" applyFont="1" applyFill="1" applyBorder="1" applyAlignment="1">
      <alignment horizontal="center" vertical="center"/>
    </xf>
    <xf numFmtId="0" fontId="30" fillId="0" borderId="1" xfId="0" applyFont="1" applyBorder="1" applyAlignment="1">
      <alignment horizontal="right" vertical="center"/>
    </xf>
    <xf numFmtId="0" fontId="27" fillId="0" borderId="1" xfId="0" applyFont="1" applyBorder="1" applyAlignment="1">
      <alignment horizontal="right" vertical="center"/>
    </xf>
    <xf numFmtId="0" fontId="30" fillId="0" borderId="1" xfId="0" applyFont="1" applyBorder="1" applyAlignment="1">
      <alignment horizontal="center" vertical="center" wrapText="1"/>
    </xf>
    <xf numFmtId="3" fontId="41" fillId="2" borderId="1" xfId="0" applyNumberFormat="1" applyFont="1" applyFill="1" applyBorder="1" applyAlignment="1">
      <alignment horizontal="right" vertical="center" wrapText="1"/>
    </xf>
    <xf numFmtId="3" fontId="27" fillId="0" borderId="1" xfId="0" applyNumberFormat="1" applyFont="1" applyBorder="1" applyAlignment="1">
      <alignment horizontal="center" vertical="center" wrapText="1"/>
    </xf>
    <xf numFmtId="0" fontId="30" fillId="0" borderId="1" xfId="0" applyFont="1" applyFill="1" applyBorder="1" applyAlignment="1">
      <alignment horizontal="justify" vertical="center" wrapText="1"/>
    </xf>
    <xf numFmtId="3" fontId="30" fillId="0" borderId="1" xfId="0" applyNumberFormat="1" applyFont="1" applyFill="1" applyBorder="1" applyAlignment="1">
      <alignment horizontal="center" vertical="center" wrapText="1"/>
    </xf>
    <xf numFmtId="3" fontId="30" fillId="0" borderId="1" xfId="0" applyNumberFormat="1" applyFont="1" applyBorder="1" applyAlignment="1">
      <alignment horizontal="center" vertical="center" wrapText="1"/>
    </xf>
    <xf numFmtId="3" fontId="30" fillId="0" borderId="1" xfId="0" applyNumberFormat="1" applyFont="1" applyBorder="1" applyAlignment="1">
      <alignment horizontal="right" vertical="center"/>
    </xf>
    <xf numFmtId="3" fontId="27" fillId="0" borderId="1" xfId="0" applyNumberFormat="1" applyFont="1" applyBorder="1" applyAlignment="1">
      <alignment horizontal="right" vertical="center"/>
    </xf>
    <xf numFmtId="0" fontId="28" fillId="0" borderId="1" xfId="0" applyFont="1" applyBorder="1" applyAlignment="1">
      <alignment vertical="center"/>
    </xf>
    <xf numFmtId="165" fontId="28" fillId="0" borderId="1" xfId="2" applyNumberFormat="1" applyFont="1" applyFill="1" applyBorder="1" applyAlignment="1">
      <alignment horizontal="right" vertical="center"/>
    </xf>
    <xf numFmtId="165" fontId="28" fillId="0" borderId="1" xfId="2" applyNumberFormat="1" applyFont="1" applyBorder="1" applyAlignment="1">
      <alignment horizontal="right" vertical="center"/>
    </xf>
    <xf numFmtId="0" fontId="29" fillId="0" borderId="1" xfId="0" applyFont="1" applyBorder="1" applyAlignment="1">
      <alignment vertical="center"/>
    </xf>
    <xf numFmtId="165" fontId="29" fillId="0" borderId="1" xfId="2" applyNumberFormat="1" applyFont="1" applyBorder="1" applyAlignment="1">
      <alignment horizontal="right" vertical="center"/>
    </xf>
    <xf numFmtId="41" fontId="25" fillId="0" borderId="1" xfId="3" applyFont="1" applyFill="1" applyBorder="1" applyAlignment="1">
      <alignment horizontal="right" vertical="center" wrapText="1"/>
    </xf>
    <xf numFmtId="0" fontId="24" fillId="0" borderId="1" xfId="0" applyFont="1" applyBorder="1" applyAlignment="1">
      <alignment vertical="center" wrapText="1"/>
    </xf>
    <xf numFmtId="0" fontId="24" fillId="0" borderId="1" xfId="0" applyFont="1" applyFill="1" applyBorder="1" applyAlignment="1">
      <alignment horizontal="right" vertical="center" wrapText="1"/>
    </xf>
    <xf numFmtId="4" fontId="30"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4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46"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47" fillId="2" borderId="1" xfId="0" applyFont="1" applyFill="1" applyBorder="1" applyAlignment="1">
      <alignment horizontal="center" vertical="center" wrapText="1"/>
    </xf>
    <xf numFmtId="0" fontId="26" fillId="0" borderId="1" xfId="0" applyFont="1" applyBorder="1" applyAlignment="1">
      <alignment horizontal="left" vertical="center" wrapText="1"/>
    </xf>
    <xf numFmtId="4" fontId="48" fillId="0" borderId="1" xfId="0" applyNumberFormat="1" applyFont="1" applyBorder="1" applyAlignment="1">
      <alignment horizontal="center" vertical="center" wrapText="1"/>
    </xf>
    <xf numFmtId="3" fontId="48" fillId="0" borderId="1" xfId="0" applyNumberFormat="1" applyFont="1" applyBorder="1" applyAlignment="1">
      <alignment horizontal="center" vertical="center" wrapText="1"/>
    </xf>
    <xf numFmtId="0" fontId="49" fillId="0" borderId="1" xfId="0" applyFont="1" applyFill="1" applyBorder="1" applyAlignment="1">
      <alignment vertical="center" wrapText="1"/>
    </xf>
    <xf numFmtId="0" fontId="50" fillId="0" borderId="1" xfId="0" applyFont="1" applyFill="1" applyBorder="1" applyAlignment="1">
      <alignment vertical="top" wrapText="1"/>
    </xf>
    <xf numFmtId="0" fontId="24" fillId="0" borderId="0" xfId="0" applyFont="1" applyAlignment="1">
      <alignment horizontal="right" vertical="center"/>
    </xf>
    <xf numFmtId="0" fontId="41" fillId="2" borderId="1" xfId="0" applyFont="1" applyFill="1" applyBorder="1" applyAlignment="1">
      <alignment vertical="center"/>
    </xf>
    <xf numFmtId="0" fontId="51" fillId="2" borderId="1" xfId="0" applyFont="1" applyFill="1" applyBorder="1" applyAlignment="1">
      <alignment horizontal="center" vertical="center" wrapText="1"/>
    </xf>
    <xf numFmtId="0" fontId="31" fillId="4" borderId="1" xfId="0" applyFont="1" applyFill="1" applyBorder="1" applyAlignment="1">
      <alignment vertical="center"/>
    </xf>
    <xf numFmtId="0" fontId="52" fillId="4" borderId="1" xfId="0" applyFont="1" applyFill="1" applyBorder="1" applyAlignment="1">
      <alignment vertical="center"/>
    </xf>
    <xf numFmtId="0" fontId="53" fillId="0" borderId="1" xfId="0" applyFont="1" applyBorder="1" applyAlignment="1">
      <alignment vertical="center"/>
    </xf>
    <xf numFmtId="3" fontId="53" fillId="0" borderId="1" xfId="0" applyNumberFormat="1" applyFont="1" applyBorder="1" applyAlignment="1">
      <alignment horizontal="right" vertical="center"/>
    </xf>
    <xf numFmtId="0" fontId="31" fillId="0" borderId="1" xfId="0" applyFont="1" applyBorder="1" applyAlignment="1">
      <alignment vertical="center"/>
    </xf>
    <xf numFmtId="0" fontId="54" fillId="0" borderId="1" xfId="0" applyFont="1" applyBorder="1" applyAlignment="1">
      <alignment horizontal="right" vertical="center"/>
    </xf>
    <xf numFmtId="0" fontId="31" fillId="0" borderId="1" xfId="0" applyFont="1" applyBorder="1" applyAlignment="1">
      <alignment horizontal="right" vertical="center"/>
    </xf>
    <xf numFmtId="0" fontId="53" fillId="0" borderId="1" xfId="0" applyFont="1" applyBorder="1" applyAlignment="1">
      <alignment horizontal="right" vertical="center"/>
    </xf>
    <xf numFmtId="3" fontId="31" fillId="0" borderId="1" xfId="0" applyNumberFormat="1" applyFont="1" applyBorder="1" applyAlignment="1">
      <alignment horizontal="right" vertical="center"/>
    </xf>
    <xf numFmtId="0" fontId="52" fillId="0" borderId="1" xfId="0" applyFont="1" applyBorder="1" applyAlignment="1">
      <alignment horizontal="right" vertical="center"/>
    </xf>
    <xf numFmtId="41" fontId="53" fillId="0" borderId="1" xfId="3" applyFont="1" applyBorder="1" applyAlignment="1">
      <alignment horizontal="right" vertical="center"/>
    </xf>
    <xf numFmtId="3" fontId="9" fillId="0" borderId="1" xfId="0" applyNumberFormat="1" applyFont="1" applyBorder="1" applyAlignment="1">
      <alignment horizontal="right" vertical="center"/>
    </xf>
    <xf numFmtId="0" fontId="0" fillId="0" borderId="0" xfId="0" applyAlignment="1">
      <alignment horizontal="right"/>
    </xf>
    <xf numFmtId="0" fontId="15" fillId="0" borderId="0" xfId="0" applyFont="1" applyAlignment="1">
      <alignment horizontal="right"/>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6" borderId="1" xfId="0" applyFont="1" applyFill="1" applyBorder="1" applyAlignment="1">
      <alignment vertical="center" wrapText="1"/>
    </xf>
    <xf numFmtId="0" fontId="30" fillId="6" borderId="1" xfId="0" applyFont="1" applyFill="1" applyBorder="1" applyAlignment="1">
      <alignment horizontal="right" vertical="center" wrapText="1"/>
    </xf>
    <xf numFmtId="3" fontId="27" fillId="0" borderId="1" xfId="0" applyNumberFormat="1" applyFont="1" applyBorder="1" applyAlignment="1">
      <alignment vertical="center" wrapText="1"/>
    </xf>
    <xf numFmtId="3" fontId="30" fillId="0" borderId="1" xfId="2" applyNumberFormat="1" applyFont="1" applyBorder="1" applyAlignment="1">
      <alignment vertical="center" wrapText="1"/>
    </xf>
    <xf numFmtId="3" fontId="30" fillId="0" borderId="1" xfId="2" applyNumberFormat="1" applyFont="1" applyBorder="1" applyAlignment="1">
      <alignment horizontal="right" vertical="center" wrapText="1"/>
    </xf>
    <xf numFmtId="3" fontId="30" fillId="0" borderId="1" xfId="0" applyNumberFormat="1" applyFont="1" applyBorder="1" applyAlignment="1">
      <alignment vertical="center" wrapText="1"/>
    </xf>
    <xf numFmtId="3" fontId="30" fillId="0" borderId="1" xfId="3" applyNumberFormat="1" applyFont="1" applyBorder="1" applyAlignment="1">
      <alignment vertical="center" wrapText="1"/>
    </xf>
    <xf numFmtId="0" fontId="51" fillId="2" borderId="1" xfId="0" applyFont="1" applyFill="1" applyBorder="1" applyAlignment="1">
      <alignment vertical="center"/>
    </xf>
    <xf numFmtId="0" fontId="47" fillId="2" borderId="1" xfId="0" applyFont="1" applyFill="1" applyBorder="1" applyAlignment="1">
      <alignment horizontal="center" vertical="center"/>
    </xf>
    <xf numFmtId="0" fontId="55" fillId="4" borderId="1" xfId="0" applyFont="1" applyFill="1" applyBorder="1" applyAlignment="1">
      <alignment vertical="center"/>
    </xf>
    <xf numFmtId="3" fontId="55" fillId="4" borderId="1" xfId="0" applyNumberFormat="1" applyFont="1" applyFill="1" applyBorder="1" applyAlignment="1">
      <alignment horizontal="right" vertical="center"/>
    </xf>
    <xf numFmtId="0" fontId="56" fillId="0" borderId="1" xfId="0" applyFont="1" applyBorder="1" applyAlignment="1">
      <alignment vertical="center"/>
    </xf>
    <xf numFmtId="0" fontId="57" fillId="0" borderId="1" xfId="0" applyFont="1" applyBorder="1" applyAlignment="1">
      <alignment horizontal="right" vertical="center"/>
    </xf>
    <xf numFmtId="0" fontId="58" fillId="0" borderId="1" xfId="0" applyFont="1" applyBorder="1" applyAlignment="1">
      <alignment vertical="center"/>
    </xf>
    <xf numFmtId="3" fontId="58" fillId="0" borderId="1" xfId="0" applyNumberFormat="1" applyFont="1" applyBorder="1" applyAlignment="1">
      <alignment horizontal="right" vertical="center"/>
    </xf>
    <xf numFmtId="0" fontId="57" fillId="0" borderId="1" xfId="0" applyFont="1" applyBorder="1" applyAlignment="1">
      <alignment vertical="center"/>
    </xf>
    <xf numFmtId="3" fontId="57" fillId="0" borderId="1" xfId="0" applyNumberFormat="1" applyFont="1" applyBorder="1" applyAlignment="1">
      <alignment horizontal="right" vertical="center"/>
    </xf>
    <xf numFmtId="3" fontId="57" fillId="0" borderId="1" xfId="0" applyNumberFormat="1" applyFont="1" applyFill="1" applyBorder="1" applyAlignment="1">
      <alignment horizontal="right" vertical="center"/>
    </xf>
    <xf numFmtId="3" fontId="55" fillId="0" borderId="1" xfId="0" applyNumberFormat="1" applyFont="1" applyBorder="1" applyAlignment="1">
      <alignment horizontal="right" vertical="center"/>
    </xf>
    <xf numFmtId="0" fontId="55" fillId="0" borderId="1" xfId="0" applyFont="1" applyFill="1" applyBorder="1" applyAlignment="1">
      <alignment horizontal="right" vertical="center"/>
    </xf>
    <xf numFmtId="0" fontId="55" fillId="0" borderId="1" xfId="0" applyFont="1" applyBorder="1" applyAlignment="1">
      <alignment vertical="center"/>
    </xf>
    <xf numFmtId="0" fontId="0" fillId="0" borderId="0" xfId="0" applyAlignment="1">
      <alignment horizontal="left"/>
    </xf>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3" fontId="9" fillId="0" borderId="1" xfId="0" applyNumberFormat="1" applyFont="1" applyFill="1" applyBorder="1" applyAlignment="1">
      <alignment horizontal="right" vertical="center" wrapText="1"/>
    </xf>
    <xf numFmtId="3" fontId="31" fillId="0" borderId="1" xfId="0" applyNumberFormat="1" applyFont="1" applyBorder="1" applyAlignment="1">
      <alignment horizontal="right" vertical="center"/>
    </xf>
    <xf numFmtId="0" fontId="21" fillId="0" borderId="2" xfId="0" applyFont="1" applyBorder="1" applyAlignment="1">
      <alignment vertical="center"/>
    </xf>
    <xf numFmtId="0" fontId="18" fillId="0" borderId="1" xfId="0" applyFont="1" applyBorder="1" applyAlignment="1">
      <alignment vertical="center"/>
    </xf>
    <xf numFmtId="4" fontId="18" fillId="0" borderId="1" xfId="0" applyNumberFormat="1" applyFont="1" applyBorder="1" applyAlignment="1">
      <alignment horizontal="justify" vertical="center" wrapText="1"/>
    </xf>
    <xf numFmtId="0" fontId="7" fillId="0" borderId="21" xfId="0" applyFont="1" applyBorder="1" applyAlignment="1">
      <alignment vertical="center" wrapText="1"/>
    </xf>
    <xf numFmtId="0" fontId="35" fillId="0" borderId="22" xfId="0" applyFont="1" applyBorder="1"/>
    <xf numFmtId="0" fontId="7" fillId="0" borderId="17" xfId="0" applyFont="1" applyBorder="1" applyAlignment="1">
      <alignment horizontal="right" vertical="center" wrapText="1"/>
    </xf>
    <xf numFmtId="3" fontId="3" fillId="0" borderId="22" xfId="0" applyNumberFormat="1" applyFont="1" applyBorder="1" applyAlignment="1">
      <alignment horizontal="right" vertical="center" wrapText="1"/>
    </xf>
    <xf numFmtId="3" fontId="7" fillId="0" borderId="22" xfId="0" applyNumberFormat="1" applyFont="1" applyBorder="1" applyAlignment="1">
      <alignment horizontal="right" vertical="center" wrapText="1"/>
    </xf>
    <xf numFmtId="0" fontId="7" fillId="0" borderId="22" xfId="0" applyFont="1" applyBorder="1" applyAlignment="1">
      <alignment horizontal="right" vertical="center" wrapText="1"/>
    </xf>
    <xf numFmtId="0" fontId="3" fillId="0" borderId="22" xfId="0" applyFont="1" applyBorder="1" applyAlignment="1">
      <alignment horizontal="right" vertical="center" wrapText="1"/>
    </xf>
    <xf numFmtId="0" fontId="36" fillId="0" borderId="22" xfId="0" applyFont="1" applyBorder="1" applyAlignment="1">
      <alignment vertical="top" wrapText="1"/>
    </xf>
    <xf numFmtId="3" fontId="3" fillId="0" borderId="23" xfId="0" applyNumberFormat="1" applyFont="1" applyBorder="1" applyAlignment="1">
      <alignment horizontal="right" vertical="center" wrapText="1"/>
    </xf>
    <xf numFmtId="0" fontId="7" fillId="0" borderId="16" xfId="0" applyFont="1" applyBorder="1" applyAlignment="1">
      <alignment horizontal="right" vertical="center" wrapText="1"/>
    </xf>
    <xf numFmtId="3" fontId="3" fillId="0" borderId="24" xfId="0" applyNumberFormat="1" applyFont="1" applyBorder="1" applyAlignment="1">
      <alignment horizontal="right" vertical="center" wrapText="1"/>
    </xf>
    <xf numFmtId="3" fontId="7" fillId="0" borderId="24" xfId="0" applyNumberFormat="1" applyFont="1" applyBorder="1" applyAlignment="1">
      <alignment horizontal="right" vertical="center" wrapText="1"/>
    </xf>
    <xf numFmtId="0" fontId="7" fillId="0" borderId="24" xfId="0" applyFont="1" applyBorder="1" applyAlignment="1">
      <alignment horizontal="right" vertical="center" wrapText="1"/>
    </xf>
    <xf numFmtId="165" fontId="7" fillId="0" borderId="24" xfId="2" applyNumberFormat="1" applyFont="1" applyBorder="1" applyAlignment="1">
      <alignment horizontal="right" vertical="center" wrapText="1"/>
    </xf>
    <xf numFmtId="0" fontId="3" fillId="0" borderId="24" xfId="0" applyFont="1" applyBorder="1" applyAlignment="1">
      <alignment horizontal="right" vertical="center" wrapText="1"/>
    </xf>
    <xf numFmtId="0" fontId="35" fillId="0" borderId="24" xfId="0" applyFont="1" applyBorder="1"/>
    <xf numFmtId="0" fontId="36" fillId="0" borderId="24" xfId="0" applyFont="1" applyBorder="1" applyAlignment="1">
      <alignment vertical="top" wrapText="1"/>
    </xf>
    <xf numFmtId="3" fontId="36" fillId="0" borderId="24" xfId="0" applyNumberFormat="1" applyFont="1" applyBorder="1" applyAlignment="1">
      <alignment vertical="top" wrapText="1"/>
    </xf>
    <xf numFmtId="3" fontId="3" fillId="0" borderId="25" xfId="0" applyNumberFormat="1" applyFont="1" applyBorder="1" applyAlignment="1">
      <alignment horizontal="right" vertical="center" wrapText="1"/>
    </xf>
    <xf numFmtId="4" fontId="50" fillId="0" borderId="1" xfId="0" applyNumberFormat="1" applyFont="1" applyFill="1" applyBorder="1" applyAlignment="1">
      <alignment vertical="top" wrapText="1"/>
    </xf>
    <xf numFmtId="3" fontId="50" fillId="0" borderId="1" xfId="0" applyNumberFormat="1" applyFont="1" applyFill="1" applyBorder="1" applyAlignment="1">
      <alignment vertical="top" wrapText="1"/>
    </xf>
    <xf numFmtId="4" fontId="49" fillId="0" borderId="1" xfId="0" applyNumberFormat="1" applyFont="1" applyFill="1" applyBorder="1" applyAlignment="1">
      <alignment horizontal="center" vertical="center" wrapText="1"/>
    </xf>
    <xf numFmtId="165" fontId="27" fillId="0" borderId="0" xfId="0" applyNumberFormat="1" applyFont="1" applyBorder="1" applyAlignment="1">
      <alignment horizontal="right" vertical="center"/>
    </xf>
    <xf numFmtId="3" fontId="25" fillId="0" borderId="1" xfId="0" applyNumberFormat="1" applyFont="1" applyFill="1" applyBorder="1" applyAlignment="1">
      <alignment horizontal="right" vertical="center" wrapText="1"/>
    </xf>
    <xf numFmtId="0" fontId="24" fillId="0" borderId="0" xfId="0" applyFont="1" applyFill="1" applyAlignment="1">
      <alignment horizontal="left" vertical="center"/>
    </xf>
    <xf numFmtId="0" fontId="59" fillId="0" borderId="0" xfId="0" applyFont="1"/>
    <xf numFmtId="0" fontId="60" fillId="0" borderId="0" xfId="0" applyFont="1"/>
    <xf numFmtId="0" fontId="61" fillId="0" borderId="0" xfId="0" applyFont="1" applyAlignment="1">
      <alignment wrapText="1"/>
    </xf>
    <xf numFmtId="3" fontId="7" fillId="0" borderId="3" xfId="0" applyNumberFormat="1" applyFont="1" applyBorder="1" applyAlignment="1">
      <alignment vertical="center" wrapText="1"/>
    </xf>
    <xf numFmtId="3" fontId="36" fillId="0" borderId="3" xfId="0" applyNumberFormat="1" applyFont="1" applyBorder="1" applyAlignment="1">
      <alignment vertical="top" wrapText="1"/>
    </xf>
    <xf numFmtId="3" fontId="11" fillId="0" borderId="1" xfId="0" applyNumberFormat="1" applyFont="1" applyBorder="1" applyAlignment="1">
      <alignment vertical="center" wrapText="1"/>
    </xf>
    <xf numFmtId="3" fontId="11" fillId="0" borderId="11" xfId="3" applyNumberFormat="1" applyFont="1" applyBorder="1" applyAlignment="1">
      <alignment vertical="center" wrapText="1"/>
    </xf>
    <xf numFmtId="3" fontId="11" fillId="0" borderId="13" xfId="3" applyNumberFormat="1" applyFont="1" applyBorder="1" applyAlignment="1">
      <alignment vertical="center" wrapText="1"/>
    </xf>
    <xf numFmtId="4" fontId="50" fillId="0" borderId="1" xfId="0" applyNumberFormat="1" applyFont="1" applyFill="1" applyBorder="1" applyAlignment="1">
      <alignment horizontal="center" vertical="top" wrapText="1"/>
    </xf>
    <xf numFmtId="3" fontId="58" fillId="0" borderId="1" xfId="0" applyNumberFormat="1" applyFont="1" applyFill="1" applyBorder="1" applyAlignment="1">
      <alignment horizontal="right" vertical="center"/>
    </xf>
    <xf numFmtId="0" fontId="71" fillId="0" borderId="0" xfId="0" applyFont="1" applyFill="1" applyAlignment="1">
      <alignment horizontal="justify" vertical="center"/>
    </xf>
    <xf numFmtId="0" fontId="35" fillId="0" borderId="0" xfId="0" applyFont="1" applyFill="1"/>
    <xf numFmtId="0" fontId="69" fillId="0" borderId="1" xfId="0" applyFont="1" applyFill="1" applyBorder="1" applyAlignment="1">
      <alignment horizontal="center" vertical="center"/>
    </xf>
    <xf numFmtId="0" fontId="69" fillId="0" borderId="1" xfId="0" applyFont="1" applyFill="1" applyBorder="1" applyAlignment="1">
      <alignment horizontal="center" vertical="center" wrapText="1"/>
    </xf>
    <xf numFmtId="0" fontId="9" fillId="0" borderId="1" xfId="0" applyFont="1" applyFill="1" applyBorder="1" applyAlignment="1">
      <alignment vertical="center"/>
    </xf>
    <xf numFmtId="165" fontId="9" fillId="0" borderId="1" xfId="2" applyNumberFormat="1" applyFont="1" applyFill="1" applyBorder="1" applyAlignment="1">
      <alignment horizontal="right" vertical="center" wrapText="1"/>
    </xf>
    <xf numFmtId="165" fontId="9" fillId="0" borderId="1" xfId="2" applyNumberFormat="1" applyFont="1" applyFill="1" applyBorder="1" applyAlignment="1">
      <alignment horizontal="right" vertical="center"/>
    </xf>
    <xf numFmtId="0" fontId="69" fillId="0" borderId="1" xfId="0" applyFont="1" applyFill="1" applyBorder="1" applyAlignment="1">
      <alignment vertical="center"/>
    </xf>
    <xf numFmtId="165" fontId="69" fillId="0" borderId="1" xfId="2" applyNumberFormat="1" applyFont="1" applyFill="1" applyBorder="1" applyAlignment="1">
      <alignment horizontal="right" vertical="center" wrapText="1"/>
    </xf>
    <xf numFmtId="165" fontId="69" fillId="0" borderId="1" xfId="2" applyNumberFormat="1" applyFont="1" applyFill="1" applyBorder="1" applyAlignment="1">
      <alignment horizontal="right" vertical="center"/>
    </xf>
    <xf numFmtId="0" fontId="71" fillId="0" borderId="0" xfId="0" applyFont="1" applyFill="1" applyAlignment="1">
      <alignment vertical="center"/>
    </xf>
    <xf numFmtId="0" fontId="73" fillId="0" borderId="1"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3" fontId="10" fillId="0" borderId="1" xfId="0" applyNumberFormat="1" applyFont="1" applyFill="1" applyBorder="1" applyAlignment="1">
      <alignment horizontal="right" vertical="center" wrapText="1"/>
    </xf>
    <xf numFmtId="0" fontId="71" fillId="0" borderId="1" xfId="0" applyFont="1" applyFill="1" applyBorder="1" applyAlignment="1">
      <alignment horizontal="justify" vertical="center" wrapText="1"/>
    </xf>
    <xf numFmtId="3" fontId="71" fillId="0" borderId="1" xfId="0" applyNumberFormat="1" applyFont="1" applyFill="1" applyBorder="1" applyAlignment="1">
      <alignment horizontal="righ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right" vertical="center" wrapText="1"/>
    </xf>
    <xf numFmtId="0" fontId="71" fillId="0" borderId="1" xfId="0" applyFont="1" applyFill="1" applyBorder="1" applyAlignment="1">
      <alignment horizontal="right" vertical="center" wrapText="1"/>
    </xf>
    <xf numFmtId="0" fontId="24" fillId="0" borderId="0" xfId="0" applyFont="1" applyAlignment="1">
      <alignment horizontal="center" vertical="center"/>
    </xf>
    <xf numFmtId="0" fontId="79" fillId="8" borderId="0" xfId="0" applyFont="1" applyFill="1" applyAlignment="1">
      <alignment vertical="center"/>
    </xf>
    <xf numFmtId="0" fontId="79" fillId="0" borderId="0" xfId="0" applyFont="1" applyFill="1" applyAlignment="1">
      <alignment vertical="center"/>
    </xf>
    <xf numFmtId="0" fontId="80" fillId="0" borderId="0" xfId="0" applyFont="1" applyFill="1" applyAlignment="1">
      <alignment vertical="center"/>
    </xf>
    <xf numFmtId="0" fontId="79" fillId="0" borderId="0" xfId="0" applyFont="1" applyFill="1" applyAlignment="1">
      <alignment horizontal="left" vertical="center"/>
    </xf>
    <xf numFmtId="0" fontId="0" fillId="8" borderId="0" xfId="0" applyFill="1"/>
    <xf numFmtId="0" fontId="80" fillId="0" borderId="0" xfId="0" applyFont="1" applyAlignment="1">
      <alignment horizontal="left"/>
    </xf>
    <xf numFmtId="0" fontId="80" fillId="0" borderId="0" xfId="0" applyFont="1"/>
    <xf numFmtId="0" fontId="80" fillId="0" borderId="0" xfId="0" applyFont="1" applyAlignment="1">
      <alignment horizontal="left" wrapText="1"/>
    </xf>
    <xf numFmtId="0" fontId="22" fillId="0" borderId="0" xfId="0" applyFont="1"/>
    <xf numFmtId="0" fontId="79" fillId="0" borderId="0" xfId="0" applyFont="1" applyAlignment="1">
      <alignment horizontal="left"/>
    </xf>
    <xf numFmtId="0" fontId="78" fillId="0" borderId="0" xfId="0" applyFont="1" applyAlignment="1">
      <alignment horizontal="left" wrapText="1"/>
    </xf>
    <xf numFmtId="0" fontId="83" fillId="0" borderId="0" xfId="0" applyFont="1" applyAlignment="1">
      <alignment horizontal="justify" vertical="center"/>
    </xf>
    <xf numFmtId="0" fontId="85" fillId="0" borderId="0" xfId="0" applyFont="1"/>
    <xf numFmtId="0" fontId="83" fillId="0" borderId="0" xfId="0" applyFont="1" applyFill="1" applyAlignment="1">
      <alignment horizontal="justify" vertical="center"/>
    </xf>
    <xf numFmtId="0" fontId="85" fillId="0" borderId="0" xfId="0" applyFont="1" applyFill="1" applyAlignment="1">
      <alignment horizontal="justify" vertical="center"/>
    </xf>
    <xf numFmtId="0" fontId="85" fillId="0" borderId="0" xfId="0" applyFont="1" applyAlignment="1">
      <alignment horizontal="justify" vertical="center"/>
    </xf>
    <xf numFmtId="0" fontId="85" fillId="0" borderId="0" xfId="0" applyFont="1" applyAlignment="1">
      <alignment horizontal="left" vertical="center"/>
    </xf>
    <xf numFmtId="0" fontId="83" fillId="0" borderId="0" xfId="0" applyFont="1" applyAlignment="1">
      <alignment horizontal="left" vertical="center"/>
    </xf>
    <xf numFmtId="0" fontId="83" fillId="0" borderId="0" xfId="0" applyFont="1"/>
    <xf numFmtId="0" fontId="88" fillId="0" borderId="0" xfId="0" applyFont="1"/>
    <xf numFmtId="0" fontId="83" fillId="0" borderId="0" xfId="0" applyFont="1" applyAlignment="1">
      <alignment vertical="center"/>
    </xf>
    <xf numFmtId="0" fontId="85" fillId="0" borderId="1" xfId="0" applyFont="1" applyFill="1" applyBorder="1"/>
    <xf numFmtId="0" fontId="89" fillId="0" borderId="0" xfId="0" applyFont="1" applyFill="1" applyAlignment="1">
      <alignment vertical="center"/>
    </xf>
    <xf numFmtId="0" fontId="83" fillId="0" borderId="0" xfId="0" applyFont="1" applyFill="1" applyAlignment="1">
      <alignment vertical="center"/>
    </xf>
    <xf numFmtId="3" fontId="85" fillId="0" borderId="0" xfId="0" applyNumberFormat="1" applyFont="1"/>
    <xf numFmtId="0" fontId="85" fillId="0" borderId="0" xfId="0" applyFont="1" applyFill="1"/>
    <xf numFmtId="0" fontId="83" fillId="0" borderId="0" xfId="0" applyFont="1" applyFill="1" applyAlignment="1">
      <alignment horizontal="left" vertical="center"/>
    </xf>
    <xf numFmtId="0" fontId="85" fillId="0" borderId="0" xfId="0" applyFont="1" applyFill="1" applyBorder="1"/>
    <xf numFmtId="0" fontId="83" fillId="0" borderId="0" xfId="0" applyFont="1" applyFill="1" applyBorder="1" applyAlignment="1">
      <alignment horizontal="left" wrapText="1"/>
    </xf>
    <xf numFmtId="165" fontId="85" fillId="0" borderId="5" xfId="2" applyNumberFormat="1" applyFont="1" applyFill="1" applyBorder="1" applyAlignment="1">
      <alignment horizontal="right" vertical="center"/>
    </xf>
    <xf numFmtId="165" fontId="91" fillId="0" borderId="0" xfId="2" applyNumberFormat="1" applyFont="1" applyFill="1" applyBorder="1" applyAlignment="1">
      <alignment horizontal="right" vertical="center"/>
    </xf>
    <xf numFmtId="49" fontId="85" fillId="0" borderId="15" xfId="0" applyNumberFormat="1" applyFont="1" applyFill="1" applyBorder="1" applyAlignment="1">
      <alignment horizontal="left" vertical="center" indent="5"/>
    </xf>
    <xf numFmtId="0" fontId="89" fillId="0" borderId="0" xfId="0" applyFont="1" applyFill="1" applyAlignment="1">
      <alignment horizontal="justify" vertical="center"/>
    </xf>
    <xf numFmtId="0" fontId="62" fillId="0" borderId="0" xfId="0" applyFont="1" applyAlignment="1">
      <alignment vertical="center"/>
    </xf>
    <xf numFmtId="0" fontId="83" fillId="8" borderId="0" xfId="0" applyFont="1" applyFill="1" applyAlignment="1">
      <alignment horizontal="left" vertical="center" indent="4"/>
    </xf>
    <xf numFmtId="0" fontId="83" fillId="8" borderId="0" xfId="0" applyFont="1" applyFill="1"/>
    <xf numFmtId="3" fontId="83" fillId="8" borderId="0" xfId="0" applyNumberFormat="1" applyFont="1" applyFill="1"/>
    <xf numFmtId="0" fontId="80" fillId="0" borderId="1" xfId="0" applyFont="1" applyBorder="1" applyAlignment="1">
      <alignment horizontal="left"/>
    </xf>
    <xf numFmtId="0" fontId="0" fillId="0" borderId="1" xfId="0" applyBorder="1"/>
    <xf numFmtId="168" fontId="80" fillId="0" borderId="1" xfId="0" applyNumberFormat="1" applyFont="1" applyBorder="1" applyAlignment="1">
      <alignment horizontal="right" vertical="center"/>
    </xf>
    <xf numFmtId="168" fontId="80" fillId="0" borderId="1" xfId="0" applyNumberFormat="1" applyFont="1" applyFill="1" applyBorder="1" applyAlignment="1">
      <alignment horizontal="right" vertical="center"/>
    </xf>
    <xf numFmtId="0" fontId="79" fillId="0" borderId="0" xfId="0" applyFont="1" applyAlignment="1">
      <alignment vertical="center"/>
    </xf>
    <xf numFmtId="0" fontId="82" fillId="6" borderId="18" xfId="0" applyFont="1" applyFill="1" applyBorder="1"/>
    <xf numFmtId="0" fontId="82" fillId="6" borderId="20" xfId="0" applyFont="1" applyFill="1" applyBorder="1"/>
    <xf numFmtId="0" fontId="81" fillId="6" borderId="20" xfId="0" applyFont="1" applyFill="1" applyBorder="1" applyAlignment="1">
      <alignment horizontal="right"/>
    </xf>
    <xf numFmtId="0" fontId="94" fillId="7" borderId="0" xfId="0" applyFont="1" applyFill="1" applyAlignment="1">
      <alignment horizontal="center" vertical="center"/>
    </xf>
    <xf numFmtId="0" fontId="94" fillId="7" borderId="0" xfId="0" applyFont="1" applyFill="1" applyAlignment="1">
      <alignment horizontal="center" vertical="center" wrapText="1"/>
    </xf>
    <xf numFmtId="0" fontId="95" fillId="0" borderId="1" xfId="0" applyFont="1" applyBorder="1" applyAlignment="1">
      <alignment horizontal="center"/>
    </xf>
    <xf numFmtId="0" fontId="95" fillId="0" borderId="1" xfId="0" applyFont="1" applyBorder="1"/>
    <xf numFmtId="41" fontId="95" fillId="0" borderId="1" xfId="3" applyFont="1" applyBorder="1"/>
    <xf numFmtId="10" fontId="95" fillId="0" borderId="1" xfId="7" applyNumberFormat="1" applyFont="1" applyBorder="1" applyAlignment="1">
      <alignment horizontal="center"/>
    </xf>
    <xf numFmtId="41" fontId="96" fillId="6" borderId="20" xfId="3" applyFont="1" applyFill="1" applyBorder="1"/>
    <xf numFmtId="41" fontId="96" fillId="6" borderId="20" xfId="0" applyNumberFormat="1" applyFont="1" applyFill="1" applyBorder="1"/>
    <xf numFmtId="10" fontId="96" fillId="6" borderId="19" xfId="0" applyNumberFormat="1" applyFont="1" applyFill="1" applyBorder="1" applyAlignment="1">
      <alignment horizontal="center"/>
    </xf>
    <xf numFmtId="0" fontId="79" fillId="0" borderId="0" xfId="0" applyFont="1"/>
    <xf numFmtId="0" fontId="90" fillId="0" borderId="0" xfId="0" applyFont="1"/>
    <xf numFmtId="0" fontId="0" fillId="0" borderId="0" xfId="0" applyAlignment="1">
      <alignment wrapText="1"/>
    </xf>
    <xf numFmtId="0" fontId="85" fillId="0" borderId="0" xfId="0" applyFont="1" applyAlignment="1">
      <alignment wrapText="1"/>
    </xf>
    <xf numFmtId="49" fontId="85" fillId="0" borderId="15" xfId="0" applyNumberFormat="1" applyFont="1" applyFill="1" applyBorder="1" applyAlignment="1">
      <alignment horizontal="left" vertical="center" wrapText="1" indent="5"/>
    </xf>
    <xf numFmtId="0" fontId="34" fillId="0" borderId="0" xfId="0" applyFont="1" applyAlignment="1">
      <alignment wrapText="1"/>
    </xf>
    <xf numFmtId="0" fontId="56" fillId="0" borderId="1" xfId="0" applyFont="1" applyBorder="1" applyAlignment="1">
      <alignment vertical="center" wrapText="1"/>
    </xf>
    <xf numFmtId="3" fontId="25" fillId="0" borderId="1" xfId="0" applyNumberFormat="1" applyFont="1" applyBorder="1" applyAlignment="1">
      <alignment horizontal="right" vertical="center" wrapText="1"/>
    </xf>
    <xf numFmtId="0" fontId="25" fillId="0" borderId="1" xfId="0" applyFont="1" applyBorder="1" applyAlignment="1">
      <alignment horizontal="right" vertical="center" wrapText="1"/>
    </xf>
    <xf numFmtId="41" fontId="25" fillId="0" borderId="1" xfId="3" applyFont="1" applyFill="1" applyBorder="1" applyAlignment="1">
      <alignment horizontal="right" vertical="center" wrapText="1"/>
    </xf>
    <xf numFmtId="3" fontId="25" fillId="0" borderId="1" xfId="0" applyNumberFormat="1" applyFont="1" applyFill="1" applyBorder="1" applyAlignment="1">
      <alignment horizontal="right" vertical="center" wrapText="1"/>
    </xf>
    <xf numFmtId="0" fontId="25" fillId="0" borderId="1" xfId="0" applyFont="1" applyFill="1" applyBorder="1" applyAlignment="1">
      <alignment horizontal="right" vertical="center" wrapText="1"/>
    </xf>
    <xf numFmtId="0" fontId="25" fillId="0" borderId="1" xfId="0" applyFont="1" applyBorder="1" applyAlignment="1">
      <alignment vertical="center" wrapText="1"/>
    </xf>
    <xf numFmtId="3" fontId="25" fillId="0" borderId="1" xfId="0" applyNumberFormat="1" applyFont="1" applyBorder="1" applyAlignment="1">
      <alignment vertical="center" wrapText="1"/>
    </xf>
    <xf numFmtId="0" fontId="25" fillId="0" borderId="1" xfId="0" applyFont="1" applyFill="1" applyBorder="1" applyAlignment="1">
      <alignment vertical="center" wrapText="1"/>
    </xf>
    <xf numFmtId="41" fontId="25" fillId="0" borderId="1" xfId="3" applyFont="1" applyFill="1" applyBorder="1" applyAlignment="1">
      <alignment vertical="center" wrapText="1"/>
    </xf>
    <xf numFmtId="3" fontId="25" fillId="0" borderId="1" xfId="0" applyNumberFormat="1" applyFont="1" applyFill="1" applyBorder="1" applyAlignment="1">
      <alignment vertical="center" wrapText="1"/>
    </xf>
    <xf numFmtId="3" fontId="11" fillId="0" borderId="11" xfId="0" applyNumberFormat="1" applyFont="1" applyBorder="1" applyAlignment="1">
      <alignment vertical="center" wrapText="1"/>
    </xf>
    <xf numFmtId="3" fontId="11" fillId="0" borderId="13" xfId="0" applyNumberFormat="1" applyFont="1" applyBorder="1" applyAlignment="1">
      <alignment vertical="center" wrapText="1"/>
    </xf>
    <xf numFmtId="0" fontId="19" fillId="0" borderId="0" xfId="0" applyFont="1" applyAlignment="1">
      <alignment vertical="center"/>
    </xf>
    <xf numFmtId="0" fontId="90" fillId="0" borderId="0" xfId="0" applyFont="1" applyBorder="1" applyAlignment="1">
      <alignment horizontal="left" wrapText="1"/>
    </xf>
    <xf numFmtId="0" fontId="90" fillId="0" borderId="0" xfId="0" applyFont="1" applyBorder="1"/>
    <xf numFmtId="0" fontId="90" fillId="0" borderId="21" xfId="0" applyFont="1" applyBorder="1"/>
    <xf numFmtId="0" fontId="24" fillId="9" borderId="21" xfId="0" applyFont="1" applyFill="1" applyBorder="1" applyAlignment="1">
      <alignment horizontal="right" vertical="center"/>
    </xf>
    <xf numFmtId="0" fontId="83" fillId="6" borderId="0" xfId="0" applyFont="1" applyFill="1" applyBorder="1" applyAlignment="1">
      <alignment horizontal="justify" vertical="center"/>
    </xf>
    <xf numFmtId="0" fontId="0" fillId="6" borderId="46" xfId="0" applyFill="1" applyBorder="1"/>
    <xf numFmtId="0" fontId="0" fillId="0" borderId="21" xfId="0" applyBorder="1" applyAlignment="1">
      <alignment horizontal="right"/>
    </xf>
    <xf numFmtId="0" fontId="24" fillId="0" borderId="21" xfId="0" applyFont="1" applyBorder="1" applyAlignment="1">
      <alignment horizontal="right" vertical="center"/>
    </xf>
    <xf numFmtId="0" fontId="83" fillId="0" borderId="0" xfId="0" applyFont="1" applyBorder="1" applyAlignment="1">
      <alignment horizontal="justify" vertical="center"/>
    </xf>
    <xf numFmtId="0" fontId="0" fillId="0" borderId="46" xfId="0" applyBorder="1"/>
    <xf numFmtId="0" fontId="25" fillId="0" borderId="21" xfId="0" applyFont="1" applyBorder="1" applyAlignment="1">
      <alignment horizontal="right" vertical="center"/>
    </xf>
    <xf numFmtId="0" fontId="85" fillId="0" borderId="0" xfId="0" applyFont="1" applyFill="1" applyBorder="1" applyAlignment="1">
      <alignment wrapText="1"/>
    </xf>
    <xf numFmtId="0" fontId="25" fillId="0" borderId="0" xfId="0" applyFont="1" applyFill="1" applyBorder="1" applyAlignment="1">
      <alignment horizontal="left" vertical="center"/>
    </xf>
    <xf numFmtId="0" fontId="85" fillId="0" borderId="0" xfId="0" applyFont="1" applyBorder="1"/>
    <xf numFmtId="0" fontId="83" fillId="0" borderId="0" xfId="0" applyFont="1" applyFill="1" applyBorder="1" applyAlignment="1">
      <alignment horizontal="justify" vertical="center"/>
    </xf>
    <xf numFmtId="0" fontId="85" fillId="0" borderId="0" xfId="0" applyFont="1" applyFill="1" applyBorder="1" applyAlignment="1">
      <alignment horizontal="justify" vertical="center"/>
    </xf>
    <xf numFmtId="0" fontId="85" fillId="0" borderId="0" xfId="0" applyFont="1" applyBorder="1" applyAlignment="1">
      <alignment horizontal="justify" vertical="center"/>
    </xf>
    <xf numFmtId="0" fontId="85" fillId="0" borderId="0" xfId="0" applyFont="1" applyBorder="1" applyAlignment="1">
      <alignment horizontal="justify" vertical="center" wrapText="1"/>
    </xf>
    <xf numFmtId="0" fontId="0" fillId="0" borderId="47" xfId="0" applyBorder="1" applyAlignment="1">
      <alignment horizontal="right"/>
    </xf>
    <xf numFmtId="0" fontId="0" fillId="0" borderId="26" xfId="0" applyBorder="1"/>
    <xf numFmtId="0" fontId="0" fillId="0" borderId="48" xfId="0" applyBorder="1"/>
    <xf numFmtId="0" fontId="74" fillId="2" borderId="36" xfId="0" applyFont="1" applyFill="1" applyBorder="1" applyAlignment="1">
      <alignment horizontal="center" vertical="center" wrapText="1"/>
    </xf>
    <xf numFmtId="0" fontId="77" fillId="2" borderId="44" xfId="0" applyFont="1" applyFill="1" applyBorder="1" applyAlignment="1">
      <alignment horizontal="center" vertical="center"/>
    </xf>
    <xf numFmtId="0" fontId="77" fillId="2" borderId="45" xfId="0" applyFont="1" applyFill="1" applyBorder="1" applyAlignment="1">
      <alignment horizontal="center" vertical="center"/>
    </xf>
    <xf numFmtId="0" fontId="77" fillId="2" borderId="21" xfId="0" applyFont="1" applyFill="1" applyBorder="1" applyAlignment="1">
      <alignment horizontal="center" vertical="center"/>
    </xf>
    <xf numFmtId="0" fontId="77" fillId="2" borderId="0" xfId="0" applyFont="1" applyFill="1" applyAlignment="1">
      <alignment horizontal="center" vertical="center"/>
    </xf>
    <xf numFmtId="0" fontId="77" fillId="2" borderId="46" xfId="0" applyFont="1" applyFill="1" applyBorder="1" applyAlignment="1">
      <alignment horizontal="center" vertical="center"/>
    </xf>
    <xf numFmtId="0" fontId="77" fillId="2" borderId="47" xfId="0" applyFont="1" applyFill="1" applyBorder="1" applyAlignment="1">
      <alignment horizontal="center" vertical="center"/>
    </xf>
    <xf numFmtId="0" fontId="77" fillId="2" borderId="26" xfId="0" applyFont="1" applyFill="1" applyBorder="1" applyAlignment="1">
      <alignment horizontal="center" vertical="center"/>
    </xf>
    <xf numFmtId="0" fontId="77" fillId="2" borderId="48" xfId="0" applyFont="1" applyFill="1" applyBorder="1" applyAlignment="1">
      <alignment horizontal="center" vertical="center"/>
    </xf>
    <xf numFmtId="0" fontId="80" fillId="0" borderId="18" xfId="0" applyFont="1" applyBorder="1" applyAlignment="1">
      <alignment horizontal="left"/>
    </xf>
    <xf numFmtId="0" fontId="80" fillId="0" borderId="19" xfId="0" applyFont="1" applyBorder="1" applyAlignment="1">
      <alignment horizontal="left"/>
    </xf>
    <xf numFmtId="0" fontId="94" fillId="7" borderId="26" xfId="0" applyFont="1" applyFill="1" applyBorder="1" applyAlignment="1">
      <alignment horizontal="center" vertical="center" wrapText="1"/>
    </xf>
    <xf numFmtId="0" fontId="79" fillId="0" borderId="0" xfId="0" applyFont="1" applyAlignment="1">
      <alignment horizontal="left"/>
    </xf>
    <xf numFmtId="0" fontId="80" fillId="0" borderId="0" xfId="0" applyFont="1" applyAlignment="1">
      <alignment horizontal="left"/>
    </xf>
    <xf numFmtId="0" fontId="80" fillId="0" borderId="21" xfId="0" applyFont="1" applyBorder="1" applyAlignment="1">
      <alignment horizontal="left"/>
    </xf>
    <xf numFmtId="0" fontId="80" fillId="0" borderId="0" xfId="0" applyFont="1" applyBorder="1" applyAlignment="1">
      <alignment horizontal="left"/>
    </xf>
    <xf numFmtId="0" fontId="80" fillId="0" borderId="0" xfId="0" applyFont="1" applyAlignment="1">
      <alignment horizontal="left" wrapText="1"/>
    </xf>
    <xf numFmtId="0" fontId="80" fillId="0" borderId="0" xfId="0" applyFont="1" applyFill="1" applyAlignment="1">
      <alignment horizontal="left" wrapText="1"/>
    </xf>
    <xf numFmtId="0" fontId="80" fillId="0" borderId="0" xfId="0" applyFont="1" applyAlignment="1">
      <alignment horizontal="left" vertical="center" wrapText="1"/>
    </xf>
    <xf numFmtId="0" fontId="93" fillId="2" borderId="21" xfId="0" applyFont="1" applyFill="1" applyBorder="1" applyAlignment="1">
      <alignment horizontal="center"/>
    </xf>
    <xf numFmtId="0" fontId="93" fillId="2" borderId="0" xfId="0" applyFont="1" applyFill="1" applyBorder="1" applyAlignment="1">
      <alignment horizontal="center"/>
    </xf>
    <xf numFmtId="0" fontId="79" fillId="0" borderId="0" xfId="0" applyFont="1" applyBorder="1" applyAlignment="1">
      <alignment horizontal="center"/>
    </xf>
    <xf numFmtId="0" fontId="90" fillId="0" borderId="0" xfId="0" applyFont="1" applyBorder="1" applyAlignment="1">
      <alignment horizontal="left" wrapText="1"/>
    </xf>
    <xf numFmtId="0" fontId="69" fillId="0" borderId="0" xfId="0" applyFont="1" applyFill="1" applyAlignment="1">
      <alignment horizontal="center" vertical="center"/>
    </xf>
    <xf numFmtId="0" fontId="63" fillId="0" borderId="0" xfId="0" applyFont="1" applyFill="1" applyAlignment="1">
      <alignment horizontal="left" vertical="center" wrapText="1"/>
    </xf>
    <xf numFmtId="0" fontId="80" fillId="0" borderId="0" xfId="0" applyFont="1" applyFill="1" applyAlignment="1">
      <alignment horizontal="left" vertical="center"/>
    </xf>
    <xf numFmtId="0" fontId="90" fillId="0" borderId="0" xfId="0" applyFont="1" applyBorder="1" applyAlignment="1">
      <alignment horizontal="left"/>
    </xf>
    <xf numFmtId="0" fontId="90" fillId="0" borderId="21" xfId="0" applyFont="1" applyBorder="1" applyAlignment="1">
      <alignment horizontal="left"/>
    </xf>
    <xf numFmtId="0" fontId="90" fillId="0" borderId="0" xfId="0" applyFont="1" applyAlignment="1">
      <alignment horizontal="left"/>
    </xf>
    <xf numFmtId="0" fontId="96" fillId="0" borderId="0" xfId="0" applyFont="1" applyAlignment="1">
      <alignment horizontal="left" vertical="center"/>
    </xf>
    <xf numFmtId="0" fontId="66" fillId="0" borderId="0" xfId="0" applyFont="1" applyAlignment="1">
      <alignment horizontal="center" vertical="center" wrapText="1"/>
    </xf>
    <xf numFmtId="0" fontId="65" fillId="2" borderId="41" xfId="0" applyFont="1" applyFill="1" applyBorder="1" applyAlignment="1">
      <alignment horizontal="center" vertical="center" wrapText="1"/>
    </xf>
    <xf numFmtId="0" fontId="65" fillId="2" borderId="42" xfId="0" applyFont="1" applyFill="1" applyBorder="1" applyAlignment="1">
      <alignment horizontal="center" vertical="center" wrapText="1"/>
    </xf>
    <xf numFmtId="0" fontId="65" fillId="2" borderId="34" xfId="0" applyFont="1" applyFill="1" applyBorder="1" applyAlignment="1">
      <alignment horizontal="center" vertical="center" wrapText="1"/>
    </xf>
    <xf numFmtId="0" fontId="65" fillId="2" borderId="11" xfId="0" applyFont="1" applyFill="1" applyBorder="1" applyAlignment="1">
      <alignment horizontal="center" vertical="center" wrapText="1"/>
    </xf>
    <xf numFmtId="0" fontId="64" fillId="2" borderId="34" xfId="0" applyFont="1" applyFill="1" applyBorder="1" applyAlignment="1">
      <alignment vertical="center" wrapText="1"/>
    </xf>
    <xf numFmtId="0" fontId="64" fillId="2" borderId="1" xfId="0" applyFont="1" applyFill="1" applyBorder="1" applyAlignment="1">
      <alignment vertical="center" wrapText="1"/>
    </xf>
    <xf numFmtId="0" fontId="51" fillId="2" borderId="34"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1" fillId="2" borderId="27" xfId="0" applyFont="1" applyFill="1" applyBorder="1" applyAlignment="1">
      <alignment horizontal="center" vertical="center" wrapText="1"/>
    </xf>
    <xf numFmtId="0" fontId="51" fillId="2" borderId="9" xfId="0" applyFont="1" applyFill="1" applyBorder="1" applyAlignment="1">
      <alignment horizontal="center" vertical="center" wrapText="1"/>
    </xf>
    <xf numFmtId="0" fontId="20" fillId="0" borderId="4" xfId="0" applyFont="1" applyBorder="1" applyAlignment="1">
      <alignment vertical="center" wrapText="1"/>
    </xf>
    <xf numFmtId="0" fontId="20" fillId="0" borderId="28" xfId="0" applyFont="1" applyBorder="1" applyAlignment="1">
      <alignment vertical="center" wrapText="1"/>
    </xf>
    <xf numFmtId="3" fontId="3" fillId="0" borderId="6" xfId="0" applyNumberFormat="1" applyFont="1" applyBorder="1" applyAlignment="1">
      <alignment horizontal="right" vertical="center" wrapText="1"/>
    </xf>
    <xf numFmtId="3" fontId="3" fillId="0" borderId="29" xfId="0" applyNumberFormat="1" applyFont="1" applyBorder="1" applyAlignment="1">
      <alignment horizontal="right" vertical="center" wrapText="1"/>
    </xf>
    <xf numFmtId="0" fontId="3" fillId="0" borderId="7" xfId="0" applyFont="1" applyBorder="1" applyAlignment="1">
      <alignment horizontal="left" vertical="center" wrapText="1"/>
    </xf>
    <xf numFmtId="0" fontId="3" fillId="0" borderId="30" xfId="0" applyFont="1" applyBorder="1" applyAlignment="1">
      <alignment horizontal="left" vertical="center" wrapText="1"/>
    </xf>
    <xf numFmtId="3" fontId="3" fillId="0" borderId="31" xfId="0" applyNumberFormat="1" applyFont="1" applyBorder="1" applyAlignment="1">
      <alignment horizontal="right" vertical="center" wrapText="1"/>
    </xf>
    <xf numFmtId="3" fontId="3" fillId="0" borderId="32" xfId="0" applyNumberFormat="1" applyFont="1" applyBorder="1" applyAlignment="1">
      <alignment horizontal="right" vertical="center" wrapText="1"/>
    </xf>
    <xf numFmtId="0" fontId="64" fillId="2" borderId="33" xfId="0" applyFont="1" applyFill="1" applyBorder="1" applyAlignment="1">
      <alignment vertical="center" wrapText="1"/>
    </xf>
    <xf numFmtId="0" fontId="64" fillId="2" borderId="8" xfId="0" applyFont="1" applyFill="1" applyBorder="1" applyAlignment="1">
      <alignment vertical="center" wrapText="1"/>
    </xf>
    <xf numFmtId="0" fontId="83" fillId="8" borderId="0" xfId="0" applyFont="1" applyFill="1" applyAlignment="1">
      <alignment horizontal="left" vertical="center"/>
    </xf>
    <xf numFmtId="0" fontId="65" fillId="2" borderId="35" xfId="0" applyFont="1" applyFill="1" applyBorder="1" applyAlignment="1">
      <alignment horizontal="center" vertical="center" wrapText="1"/>
    </xf>
    <xf numFmtId="0" fontId="65" fillId="2" borderId="36" xfId="0" applyFont="1" applyFill="1" applyBorder="1" applyAlignment="1">
      <alignment horizontal="center" vertical="center" wrapText="1"/>
    </xf>
    <xf numFmtId="0" fontId="65" fillId="2" borderId="37" xfId="0" applyFont="1" applyFill="1" applyBorder="1" applyAlignment="1">
      <alignment horizontal="center" vertical="center" wrapText="1"/>
    </xf>
    <xf numFmtId="0" fontId="65" fillId="2" borderId="38" xfId="0" applyFont="1" applyFill="1" applyBorder="1" applyAlignment="1">
      <alignment horizontal="center" vertical="center" wrapText="1"/>
    </xf>
    <xf numFmtId="0" fontId="65" fillId="2" borderId="39" xfId="0" applyFont="1" applyFill="1" applyBorder="1" applyAlignment="1">
      <alignment horizontal="center" vertical="center" wrapText="1"/>
    </xf>
    <xf numFmtId="0" fontId="65" fillId="2" borderId="40" xfId="0" applyFont="1" applyFill="1" applyBorder="1" applyAlignment="1">
      <alignment horizontal="center" vertical="center" wrapText="1"/>
    </xf>
    <xf numFmtId="0" fontId="24" fillId="0" borderId="0" xfId="0" applyFont="1" applyAlignment="1">
      <alignment horizontal="center" vertical="center" wrapText="1"/>
    </xf>
    <xf numFmtId="0" fontId="41" fillId="2" borderId="1" xfId="0" applyFont="1" applyFill="1" applyBorder="1" applyAlignment="1">
      <alignment horizontal="center" vertical="center" wrapText="1"/>
    </xf>
    <xf numFmtId="0" fontId="29" fillId="0" borderId="0" xfId="0" applyFont="1" applyAlignment="1">
      <alignment horizontal="center" vertical="center"/>
    </xf>
    <xf numFmtId="0" fontId="70" fillId="0" borderId="0" xfId="0" applyFont="1" applyFill="1" applyAlignment="1">
      <alignment horizontal="center" vertical="center"/>
    </xf>
    <xf numFmtId="0" fontId="71" fillId="0" borderId="0" xfId="0" applyFont="1" applyFill="1" applyAlignment="1">
      <alignment horizontal="center" vertical="center"/>
    </xf>
    <xf numFmtId="0" fontId="24" fillId="0" borderId="0" xfId="0" applyFont="1" applyAlignment="1">
      <alignment horizontal="center" vertical="center"/>
    </xf>
    <xf numFmtId="0" fontId="31" fillId="0" borderId="1" xfId="0" applyFont="1" applyBorder="1" applyAlignment="1">
      <alignment vertical="center" wrapText="1"/>
    </xf>
    <xf numFmtId="3" fontId="31" fillId="0" borderId="1" xfId="0" applyNumberFormat="1" applyFont="1" applyBorder="1" applyAlignment="1">
      <alignment horizontal="right" vertical="center"/>
    </xf>
    <xf numFmtId="0" fontId="97" fillId="2" borderId="36" xfId="0" applyFont="1" applyFill="1" applyBorder="1" applyAlignment="1">
      <alignment horizontal="center" vertical="center"/>
    </xf>
    <xf numFmtId="0" fontId="97" fillId="2" borderId="44" xfId="0" applyFont="1" applyFill="1" applyBorder="1" applyAlignment="1">
      <alignment horizontal="center" vertical="center"/>
    </xf>
    <xf numFmtId="0" fontId="97" fillId="2" borderId="45" xfId="0" applyFont="1" applyFill="1" applyBorder="1" applyAlignment="1">
      <alignment horizontal="center" vertical="center"/>
    </xf>
    <xf numFmtId="0" fontId="97" fillId="2" borderId="21" xfId="0" applyFont="1" applyFill="1" applyBorder="1" applyAlignment="1">
      <alignment horizontal="center" vertical="center"/>
    </xf>
    <xf numFmtId="0" fontId="97" fillId="2" borderId="0" xfId="0" applyFont="1" applyFill="1" applyBorder="1" applyAlignment="1">
      <alignment horizontal="center" vertical="center"/>
    </xf>
    <xf numFmtId="0" fontId="97" fillId="2" borderId="46" xfId="0" applyFont="1" applyFill="1" applyBorder="1" applyAlignment="1">
      <alignment horizontal="center" vertical="center"/>
    </xf>
    <xf numFmtId="0" fontId="79" fillId="0" borderId="21" xfId="0" applyFont="1" applyBorder="1" applyAlignment="1">
      <alignment horizontal="center" wrapText="1"/>
    </xf>
    <xf numFmtId="0" fontId="79" fillId="0" borderId="0" xfId="0" applyFont="1" applyBorder="1" applyAlignment="1">
      <alignment horizontal="center" wrapText="1"/>
    </xf>
    <xf numFmtId="0" fontId="79" fillId="0" borderId="46" xfId="0" applyFont="1" applyBorder="1" applyAlignment="1">
      <alignment horizontal="center" wrapText="1"/>
    </xf>
    <xf numFmtId="0" fontId="85" fillId="0" borderId="0" xfId="0" applyFont="1" applyBorder="1" applyAlignment="1">
      <alignment horizontal="left" vertical="center" wrapText="1"/>
    </xf>
    <xf numFmtId="0" fontId="85" fillId="0" borderId="46" xfId="0" applyFont="1" applyBorder="1" applyAlignment="1">
      <alignment horizontal="left" vertical="center" wrapText="1"/>
    </xf>
    <xf numFmtId="0" fontId="19" fillId="0" borderId="0" xfId="0" applyFont="1" applyBorder="1" applyAlignment="1">
      <alignment horizontal="center" vertical="center"/>
    </xf>
    <xf numFmtId="0" fontId="19" fillId="0" borderId="0" xfId="0" applyFont="1" applyAlignment="1">
      <alignment horizontal="center" vertical="center"/>
    </xf>
    <xf numFmtId="0" fontId="85" fillId="0" borderId="0" xfId="0" applyFont="1" applyAlignment="1">
      <alignment horizontal="left" vertical="center" wrapText="1"/>
    </xf>
    <xf numFmtId="0" fontId="67" fillId="2" borderId="1" xfId="0" applyFont="1" applyFill="1" applyBorder="1" applyAlignment="1">
      <alignment horizontal="justify" vertical="center" wrapText="1"/>
    </xf>
    <xf numFmtId="0" fontId="47" fillId="2" borderId="1" xfId="0" applyFont="1" applyFill="1" applyBorder="1" applyAlignment="1">
      <alignment horizontal="center" vertical="center" wrapText="1"/>
    </xf>
    <xf numFmtId="0" fontId="47" fillId="2" borderId="11" xfId="0" applyFont="1" applyFill="1" applyBorder="1" applyAlignment="1">
      <alignment horizontal="center" vertical="center" wrapText="1"/>
    </xf>
    <xf numFmtId="0" fontId="47" fillId="2" borderId="3" xfId="0" applyFont="1" applyFill="1" applyBorder="1" applyAlignment="1">
      <alignment horizontal="center" vertical="center" wrapText="1"/>
    </xf>
    <xf numFmtId="0" fontId="47" fillId="2" borderId="43" xfId="0" applyFont="1" applyFill="1" applyBorder="1" applyAlignment="1">
      <alignment horizontal="center" vertical="center" wrapText="1"/>
    </xf>
    <xf numFmtId="0" fontId="83" fillId="0" borderId="0" xfId="0" applyFont="1" applyAlignment="1">
      <alignment horizontal="left" vertical="center"/>
    </xf>
    <xf numFmtId="0" fontId="86" fillId="0" borderId="0" xfId="0" applyFont="1" applyAlignment="1">
      <alignment horizontal="left" vertical="center"/>
    </xf>
    <xf numFmtId="0" fontId="44" fillId="2" borderId="1" xfId="0" applyFont="1" applyFill="1" applyBorder="1" applyAlignment="1">
      <alignment horizontal="center" vertical="center" wrapText="1"/>
    </xf>
    <xf numFmtId="0" fontId="41" fillId="2" borderId="1" xfId="0" applyFont="1" applyFill="1" applyBorder="1" applyAlignment="1">
      <alignment horizontal="center" vertical="center"/>
    </xf>
    <xf numFmtId="0" fontId="27" fillId="5" borderId="1" xfId="0" applyFont="1" applyFill="1" applyBorder="1" applyAlignment="1">
      <alignment horizontal="center" vertical="center" wrapText="1"/>
    </xf>
    <xf numFmtId="0" fontId="41" fillId="2" borderId="1" xfId="0" applyFont="1" applyFill="1" applyBorder="1" applyAlignment="1">
      <alignment vertical="center" wrapText="1"/>
    </xf>
    <xf numFmtId="0" fontId="68" fillId="2" borderId="1" xfId="0" applyFont="1" applyFill="1" applyBorder="1" applyAlignment="1">
      <alignment horizontal="center" vertical="center"/>
    </xf>
    <xf numFmtId="0" fontId="27" fillId="0" borderId="1" xfId="0" applyFont="1" applyBorder="1" applyAlignment="1">
      <alignment vertical="center" wrapText="1"/>
    </xf>
    <xf numFmtId="0" fontId="85" fillId="0" borderId="0" xfId="0" applyFont="1" applyAlignment="1">
      <alignment horizontal="left" vertical="center"/>
    </xf>
    <xf numFmtId="0" fontId="83" fillId="0" borderId="0" xfId="0" applyFont="1" applyAlignment="1">
      <alignment horizontal="left" vertical="center" wrapText="1"/>
    </xf>
    <xf numFmtId="0" fontId="44" fillId="2" borderId="1" xfId="0" applyFont="1" applyFill="1" applyBorder="1" applyAlignment="1">
      <alignment horizontal="center" vertical="center"/>
    </xf>
    <xf numFmtId="0" fontId="41" fillId="3" borderId="11" xfId="0" applyFont="1" applyFill="1" applyBorder="1" applyAlignment="1">
      <alignment horizontal="center" vertical="center" wrapText="1"/>
    </xf>
    <xf numFmtId="0" fontId="41" fillId="3" borderId="43" xfId="0" applyFont="1" applyFill="1" applyBorder="1" applyAlignment="1">
      <alignment horizontal="center" vertical="center" wrapText="1"/>
    </xf>
    <xf numFmtId="0" fontId="83" fillId="0" borderId="0" xfId="0" applyFont="1" applyFill="1" applyAlignment="1">
      <alignment horizontal="left" vertical="center"/>
    </xf>
    <xf numFmtId="0" fontId="83" fillId="0" borderId="0" xfId="0" applyFont="1" applyFill="1" applyBorder="1" applyAlignment="1">
      <alignment horizontal="left" wrapText="1"/>
    </xf>
    <xf numFmtId="0" fontId="83" fillId="0" borderId="0" xfId="0" applyFont="1" applyFill="1" applyAlignment="1">
      <alignment horizontal="left" vertical="center" wrapText="1"/>
    </xf>
    <xf numFmtId="0" fontId="85" fillId="0" borderId="0" xfId="0" applyFont="1" applyFill="1" applyAlignment="1">
      <alignment horizontal="left" vertical="center"/>
    </xf>
    <xf numFmtId="0" fontId="88" fillId="0" borderId="0" xfId="0" applyFont="1" applyAlignment="1">
      <alignment horizontal="justify"/>
    </xf>
  </cellXfs>
  <cellStyles count="8">
    <cellStyle name="Excel Built-in Normal" xfId="1"/>
    <cellStyle name="Millares" xfId="2" builtinId="3"/>
    <cellStyle name="Millares [0]" xfId="3" builtinId="6"/>
    <cellStyle name="Millares 2" xfId="4"/>
    <cellStyle name="Millares 3" xfId="5"/>
    <cellStyle name="Normal" xfId="0" builtinId="0"/>
    <cellStyle name="Normal 2" xfId="6"/>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1134107</xdr:colOff>
      <xdr:row>7</xdr:row>
      <xdr:rowOff>174023</xdr:rowOff>
    </xdr:from>
    <xdr:to>
      <xdr:col>5</xdr:col>
      <xdr:colOff>202341</xdr:colOff>
      <xdr:row>12</xdr:row>
      <xdr:rowOff>22668</xdr:rowOff>
    </xdr:to>
    <xdr:pic>
      <xdr:nvPicPr>
        <xdr:cNvPr id="4" name="Imagen 3">
          <a:extLst>
            <a:ext uri="{FF2B5EF4-FFF2-40B4-BE49-F238E27FC236}">
              <a16:creationId xmlns:a16="http://schemas.microsoft.com/office/drawing/2014/main" id="{756A5866-018B-4D8F-AFFC-9D96E2514010}"/>
            </a:ext>
          </a:extLst>
        </xdr:cNvPr>
        <xdr:cNvPicPr>
          <a:picLocks noChangeAspect="1"/>
        </xdr:cNvPicPr>
      </xdr:nvPicPr>
      <xdr:blipFill>
        <a:blip xmlns:r="http://schemas.openxmlformats.org/officeDocument/2006/relationships" r:embed="rId1"/>
        <a:stretch>
          <a:fillRect/>
        </a:stretch>
      </xdr:blipFill>
      <xdr:spPr>
        <a:xfrm>
          <a:off x="2425496" y="1377181"/>
          <a:ext cx="2100192" cy="7710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dministracion@asucapital.com.p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4:G27"/>
  <sheetViews>
    <sheetView showGridLines="0" zoomScale="95" zoomScaleNormal="95" workbookViewId="0">
      <selection activeCell="B4" sqref="B4:G26"/>
    </sheetView>
  </sheetViews>
  <sheetFormatPr baseColWidth="10" defaultColWidth="10.85546875" defaultRowHeight="15"/>
  <cols>
    <col min="1" max="1" width="1.5703125" style="87" customWidth="1"/>
    <col min="2" max="2" width="2" style="87" customWidth="1"/>
    <col min="3" max="3" width="14" style="87" customWidth="1"/>
    <col min="4" max="4" width="20.5703125" style="87" customWidth="1"/>
    <col min="5" max="5" width="23.7109375" style="87" customWidth="1"/>
    <col min="6" max="6" width="36.140625" style="87" customWidth="1"/>
    <col min="7" max="7" width="25.5703125" style="87" hidden="1" customWidth="1"/>
    <col min="8" max="16384" width="10.85546875" style="87"/>
  </cols>
  <sheetData>
    <row r="4" spans="2:7" ht="14.45" customHeight="1">
      <c r="B4" s="87" t="s">
        <v>562</v>
      </c>
      <c r="C4" s="364" t="s">
        <v>471</v>
      </c>
      <c r="D4" s="365"/>
      <c r="E4" s="365"/>
      <c r="F4" s="365"/>
      <c r="G4" s="366"/>
    </row>
    <row r="5" spans="2:7">
      <c r="C5" s="367"/>
      <c r="D5" s="368"/>
      <c r="E5" s="368"/>
      <c r="F5" s="368"/>
      <c r="G5" s="369"/>
    </row>
    <row r="6" spans="2:7">
      <c r="C6" s="367"/>
      <c r="D6" s="368"/>
      <c r="E6" s="368"/>
      <c r="F6" s="368"/>
      <c r="G6" s="369"/>
    </row>
    <row r="7" spans="2:7">
      <c r="C7" s="367"/>
      <c r="D7" s="368"/>
      <c r="E7" s="368"/>
      <c r="F7" s="368"/>
      <c r="G7" s="369"/>
    </row>
    <row r="8" spans="2:7">
      <c r="C8" s="367"/>
      <c r="D8" s="368"/>
      <c r="E8" s="368"/>
      <c r="F8" s="368"/>
      <c r="G8" s="369"/>
    </row>
    <row r="9" spans="2:7">
      <c r="C9" s="367"/>
      <c r="D9" s="368"/>
      <c r="E9" s="368"/>
      <c r="F9" s="368"/>
      <c r="G9" s="369"/>
    </row>
    <row r="10" spans="2:7">
      <c r="C10" s="367"/>
      <c r="D10" s="368"/>
      <c r="E10" s="368"/>
      <c r="F10" s="368"/>
      <c r="G10" s="369"/>
    </row>
    <row r="11" spans="2:7">
      <c r="C11" s="367"/>
      <c r="D11" s="368"/>
      <c r="E11" s="368"/>
      <c r="F11" s="368"/>
      <c r="G11" s="369"/>
    </row>
    <row r="12" spans="2:7">
      <c r="C12" s="367"/>
      <c r="D12" s="368"/>
      <c r="E12" s="368"/>
      <c r="F12" s="368"/>
      <c r="G12" s="369"/>
    </row>
    <row r="13" spans="2:7">
      <c r="C13" s="367"/>
      <c r="D13" s="368"/>
      <c r="E13" s="368"/>
      <c r="F13" s="368"/>
      <c r="G13" s="369"/>
    </row>
    <row r="14" spans="2:7">
      <c r="C14" s="367"/>
      <c r="D14" s="368"/>
      <c r="E14" s="368"/>
      <c r="F14" s="368"/>
      <c r="G14" s="369"/>
    </row>
    <row r="15" spans="2:7">
      <c r="C15" s="367"/>
      <c r="D15" s="368"/>
      <c r="E15" s="368"/>
      <c r="F15" s="368"/>
      <c r="G15" s="369"/>
    </row>
    <row r="16" spans="2:7">
      <c r="C16" s="367"/>
      <c r="D16" s="368"/>
      <c r="E16" s="368"/>
      <c r="F16" s="368"/>
      <c r="G16" s="369"/>
    </row>
    <row r="17" spans="2:7">
      <c r="C17" s="367"/>
      <c r="D17" s="368"/>
      <c r="E17" s="368"/>
      <c r="F17" s="368"/>
      <c r="G17" s="369"/>
    </row>
    <row r="18" spans="2:7" ht="1.9" customHeight="1">
      <c r="C18" s="367"/>
      <c r="D18" s="368"/>
      <c r="E18" s="368"/>
      <c r="F18" s="368"/>
      <c r="G18" s="369"/>
    </row>
    <row r="19" spans="2:7">
      <c r="C19" s="367"/>
      <c r="D19" s="368"/>
      <c r="E19" s="368"/>
      <c r="F19" s="368"/>
      <c r="G19" s="369"/>
    </row>
    <row r="20" spans="2:7">
      <c r="C20" s="367"/>
      <c r="D20" s="368"/>
      <c r="E20" s="368"/>
      <c r="F20" s="368"/>
      <c r="G20" s="369"/>
    </row>
    <row r="21" spans="2:7">
      <c r="C21" s="367"/>
      <c r="D21" s="368"/>
      <c r="E21" s="368"/>
      <c r="F21" s="368"/>
      <c r="G21" s="369"/>
    </row>
    <row r="22" spans="2:7" ht="9.6" customHeight="1">
      <c r="B22" s="325" t="s">
        <v>537</v>
      </c>
      <c r="C22" s="367"/>
      <c r="D22" s="368"/>
      <c r="E22" s="368"/>
      <c r="F22" s="368"/>
      <c r="G22" s="369"/>
    </row>
    <row r="23" spans="2:7" hidden="1">
      <c r="C23" s="367"/>
      <c r="D23" s="368"/>
      <c r="E23" s="368"/>
      <c r="F23" s="368"/>
      <c r="G23" s="369"/>
    </row>
    <row r="24" spans="2:7" hidden="1">
      <c r="C24" s="367"/>
      <c r="D24" s="368"/>
      <c r="E24" s="368"/>
      <c r="F24" s="368"/>
      <c r="G24" s="369"/>
    </row>
    <row r="25" spans="2:7" hidden="1">
      <c r="C25" s="367"/>
      <c r="D25" s="368"/>
      <c r="E25" s="368"/>
      <c r="F25" s="368"/>
      <c r="G25" s="369"/>
    </row>
    <row r="26" spans="2:7" ht="90" customHeight="1">
      <c r="C26" s="370"/>
      <c r="D26" s="371"/>
      <c r="E26" s="371"/>
      <c r="F26" s="371"/>
      <c r="G26" s="372"/>
    </row>
    <row r="27" spans="2:7" ht="45" customHeight="1"/>
  </sheetData>
  <mergeCells count="1">
    <mergeCell ref="C4:G2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F71"/>
  <sheetViews>
    <sheetView showGridLines="0" topLeftCell="A49" zoomScaleNormal="100" workbookViewId="0">
      <selection activeCell="C68" activeCellId="1" sqref="C64 C68"/>
    </sheetView>
  </sheetViews>
  <sheetFormatPr baseColWidth="10" defaultColWidth="10.85546875" defaultRowHeight="15"/>
  <cols>
    <col min="1" max="1" width="4.85546875" customWidth="1"/>
    <col min="2" max="2" width="40.5703125" bestFit="1" customWidth="1"/>
    <col min="3" max="3" width="20.5703125" customWidth="1"/>
    <col min="4" max="4" width="19.28515625" bestFit="1" customWidth="1"/>
    <col min="5" max="5" width="18.28515625" customWidth="1"/>
    <col min="7" max="7" width="16.85546875" customWidth="1"/>
  </cols>
  <sheetData>
    <row r="2" spans="2:6" s="87" customFormat="1"/>
    <row r="3" spans="2:6" s="87" customFormat="1"/>
    <row r="4" spans="2:6">
      <c r="B4" s="287"/>
    </row>
    <row r="5" spans="2:6" ht="8.4499999999999993" customHeight="1"/>
    <row r="6" spans="2:6">
      <c r="B6" s="460" t="s">
        <v>199</v>
      </c>
      <c r="C6" s="130" t="s">
        <v>253</v>
      </c>
      <c r="D6" s="130"/>
      <c r="E6" s="130"/>
      <c r="F6" s="130" t="s">
        <v>253</v>
      </c>
    </row>
    <row r="7" spans="2:6">
      <c r="B7" s="461"/>
      <c r="C7" s="130" t="s">
        <v>254</v>
      </c>
      <c r="D7" s="130" t="s">
        <v>255</v>
      </c>
      <c r="E7" s="130" t="s">
        <v>256</v>
      </c>
      <c r="F7" s="130" t="s">
        <v>257</v>
      </c>
    </row>
    <row r="8" spans="2:6">
      <c r="B8" s="105" t="s">
        <v>64</v>
      </c>
      <c r="C8" s="106"/>
      <c r="D8" s="107"/>
      <c r="E8" s="107"/>
      <c r="F8" s="107">
        <f>+C8+D8+E8</f>
        <v>0</v>
      </c>
    </row>
    <row r="9" spans="2:6">
      <c r="B9" s="110" t="s">
        <v>258</v>
      </c>
      <c r="C9" s="111"/>
      <c r="D9" s="129" t="s">
        <v>163</v>
      </c>
      <c r="E9" s="112"/>
      <c r="F9" s="107">
        <v>0</v>
      </c>
    </row>
    <row r="10" spans="2:6">
      <c r="B10" s="105" t="s">
        <v>259</v>
      </c>
      <c r="C10" s="107">
        <v>0</v>
      </c>
      <c r="D10" s="108" t="s">
        <v>163</v>
      </c>
      <c r="E10" s="107">
        <v>0</v>
      </c>
      <c r="F10" s="108" t="s">
        <v>163</v>
      </c>
    </row>
    <row r="12" spans="2:6">
      <c r="B12" s="287" t="s">
        <v>260</v>
      </c>
      <c r="C12" s="281"/>
      <c r="D12" s="281"/>
      <c r="E12" s="281"/>
      <c r="F12" s="281"/>
    </row>
    <row r="13" spans="2:6">
      <c r="B13" s="443" t="s">
        <v>211</v>
      </c>
      <c r="C13" s="443"/>
      <c r="D13" s="443"/>
      <c r="E13" s="443"/>
      <c r="F13" s="443"/>
    </row>
    <row r="14" spans="2:6">
      <c r="B14" s="281"/>
      <c r="C14" s="281"/>
      <c r="D14" s="281"/>
      <c r="E14" s="281"/>
      <c r="F14" s="281"/>
    </row>
    <row r="15" spans="2:6">
      <c r="B15" s="449" t="s">
        <v>512</v>
      </c>
      <c r="C15" s="449"/>
      <c r="D15" s="449"/>
      <c r="E15" s="449"/>
      <c r="F15" s="281"/>
    </row>
    <row r="16" spans="2:6" ht="11.45" customHeight="1"/>
    <row r="17" spans="2:6">
      <c r="B17" s="131" t="s">
        <v>407</v>
      </c>
      <c r="C17" s="131" t="s">
        <v>206</v>
      </c>
      <c r="D17" s="131" t="s">
        <v>233</v>
      </c>
    </row>
    <row r="18" spans="2:6">
      <c r="B18" s="81" t="s">
        <v>371</v>
      </c>
      <c r="C18" s="80">
        <v>0</v>
      </c>
      <c r="D18" s="82"/>
      <c r="E18" s="76"/>
      <c r="F18" s="24"/>
    </row>
    <row r="19" spans="2:6">
      <c r="B19" s="81" t="s">
        <v>372</v>
      </c>
      <c r="C19" s="82">
        <v>0</v>
      </c>
      <c r="D19" s="82"/>
      <c r="E19" s="76"/>
      <c r="F19" s="24"/>
    </row>
    <row r="20" spans="2:6">
      <c r="B20" s="81" t="s">
        <v>373</v>
      </c>
      <c r="C20" s="80">
        <v>928392</v>
      </c>
      <c r="D20" s="82"/>
      <c r="E20" s="76"/>
      <c r="F20" s="24"/>
    </row>
    <row r="21" spans="2:6">
      <c r="B21" s="81" t="s">
        <v>374</v>
      </c>
      <c r="C21" s="80">
        <f>113001708+1026</f>
        <v>113002734</v>
      </c>
      <c r="D21" s="80">
        <v>63749996</v>
      </c>
      <c r="E21" s="76"/>
      <c r="F21" s="24"/>
    </row>
    <row r="22" spans="2:6">
      <c r="B22" s="81" t="s">
        <v>455</v>
      </c>
      <c r="C22" s="82">
        <v>914757</v>
      </c>
      <c r="D22" s="82">
        <v>2744313</v>
      </c>
      <c r="E22" s="76"/>
      <c r="F22" s="24"/>
    </row>
    <row r="23" spans="2:6" s="87" customFormat="1">
      <c r="B23" s="81" t="s">
        <v>550</v>
      </c>
      <c r="C23" s="82">
        <v>60986882</v>
      </c>
      <c r="D23" s="82"/>
      <c r="E23" s="76"/>
      <c r="F23" s="24"/>
    </row>
    <row r="24" spans="2:6">
      <c r="B24" s="83" t="s">
        <v>234</v>
      </c>
      <c r="C24" s="84">
        <f>SUM(C20:C23)</f>
        <v>175832765</v>
      </c>
      <c r="D24" s="84">
        <f>SUM(D20:D23)</f>
        <v>66494309</v>
      </c>
      <c r="F24" s="16"/>
    </row>
    <row r="26" spans="2:6">
      <c r="B26" s="287" t="s">
        <v>261</v>
      </c>
      <c r="C26" s="281"/>
      <c r="D26" s="281"/>
    </row>
    <row r="27" spans="2:6">
      <c r="B27" s="457" t="s">
        <v>211</v>
      </c>
      <c r="C27" s="457"/>
      <c r="D27" s="457"/>
    </row>
    <row r="28" spans="2:6">
      <c r="B28" s="280"/>
      <c r="C28" s="281"/>
      <c r="D28" s="281"/>
    </row>
    <row r="29" spans="2:6">
      <c r="B29" s="280" t="s">
        <v>513</v>
      </c>
      <c r="C29" s="281"/>
      <c r="D29" s="281"/>
    </row>
    <row r="30" spans="2:6" ht="16.149999999999999" customHeight="1">
      <c r="B30" s="119" t="s">
        <v>262</v>
      </c>
      <c r="C30" s="114" t="s">
        <v>263</v>
      </c>
      <c r="D30" s="119" t="s">
        <v>264</v>
      </c>
    </row>
    <row r="31" spans="2:6">
      <c r="B31" s="120" t="s">
        <v>446</v>
      </c>
      <c r="C31" s="116">
        <v>942256641</v>
      </c>
      <c r="D31" s="121">
        <v>202181831</v>
      </c>
    </row>
    <row r="32" spans="2:6" s="87" customFormat="1">
      <c r="B32" s="120" t="s">
        <v>549</v>
      </c>
      <c r="C32" s="116">
        <v>548846848</v>
      </c>
      <c r="D32" s="121"/>
    </row>
    <row r="33" spans="2:4">
      <c r="B33" s="122" t="s">
        <v>234</v>
      </c>
      <c r="C33" s="127">
        <f>SUM(C31:C32)</f>
        <v>1491103489</v>
      </c>
      <c r="D33" s="128">
        <f>+D31</f>
        <v>202181831</v>
      </c>
    </row>
    <row r="35" spans="2:4">
      <c r="B35" s="301" t="s">
        <v>514</v>
      </c>
      <c r="C35" s="249"/>
      <c r="D35" s="249"/>
    </row>
    <row r="36" spans="2:4">
      <c r="B36" s="250" t="s">
        <v>265</v>
      </c>
      <c r="C36" s="251" t="s">
        <v>263</v>
      </c>
      <c r="D36" s="250" t="s">
        <v>264</v>
      </c>
    </row>
    <row r="37" spans="2:4">
      <c r="B37" s="252" t="s">
        <v>464</v>
      </c>
      <c r="C37" s="253">
        <v>0</v>
      </c>
      <c r="D37" s="254">
        <v>0</v>
      </c>
    </row>
    <row r="38" spans="2:4">
      <c r="B38" s="255" t="s">
        <v>234</v>
      </c>
      <c r="C38" s="256">
        <f>+C37</f>
        <v>0</v>
      </c>
      <c r="D38" s="257">
        <f>+D37</f>
        <v>0</v>
      </c>
    </row>
    <row r="40" spans="2:4">
      <c r="B40" s="280" t="s">
        <v>515</v>
      </c>
    </row>
    <row r="41" spans="2:4">
      <c r="B41" s="119" t="s">
        <v>266</v>
      </c>
      <c r="C41" s="114" t="s">
        <v>263</v>
      </c>
      <c r="D41" s="119" t="s">
        <v>264</v>
      </c>
    </row>
    <row r="42" spans="2:4">
      <c r="B42" s="120"/>
      <c r="C42" s="108"/>
      <c r="D42" s="132"/>
    </row>
    <row r="43" spans="2:4">
      <c r="B43" s="122" t="s">
        <v>234</v>
      </c>
      <c r="C43" s="129" t="s">
        <v>163</v>
      </c>
      <c r="D43" s="133" t="s">
        <v>163</v>
      </c>
    </row>
    <row r="45" spans="2:4">
      <c r="B45" s="280" t="s">
        <v>516</v>
      </c>
    </row>
    <row r="46" spans="2:4">
      <c r="B46" s="119" t="s">
        <v>262</v>
      </c>
      <c r="C46" s="114" t="s">
        <v>263</v>
      </c>
      <c r="D46" s="119" t="s">
        <v>264</v>
      </c>
    </row>
    <row r="47" spans="2:4">
      <c r="B47" s="120" t="s">
        <v>465</v>
      </c>
      <c r="C47" s="116">
        <v>0</v>
      </c>
      <c r="D47" s="121"/>
    </row>
    <row r="48" spans="2:4">
      <c r="B48" s="122" t="s">
        <v>234</v>
      </c>
      <c r="C48" s="127">
        <f>+C47</f>
        <v>0</v>
      </c>
      <c r="D48" s="128">
        <f>+D47</f>
        <v>0</v>
      </c>
    </row>
    <row r="51" spans="2:6">
      <c r="B51" s="449" t="s">
        <v>267</v>
      </c>
      <c r="C51" s="449"/>
      <c r="D51" s="449"/>
      <c r="E51" s="281"/>
    </row>
    <row r="52" spans="2:6" ht="15.75" thickBot="1">
      <c r="B52" s="457" t="s">
        <v>211</v>
      </c>
      <c r="C52" s="457"/>
      <c r="D52" s="457"/>
      <c r="E52" s="457"/>
      <c r="F52" s="21"/>
    </row>
    <row r="53" spans="2:6">
      <c r="B53" s="91" t="s">
        <v>199</v>
      </c>
      <c r="C53" s="118" t="s">
        <v>206</v>
      </c>
      <c r="D53" s="118" t="s">
        <v>268</v>
      </c>
      <c r="F53" s="21"/>
    </row>
    <row r="54" spans="2:6">
      <c r="B54" s="120" t="s">
        <v>394</v>
      </c>
      <c r="C54" s="86">
        <v>160000</v>
      </c>
      <c r="D54" s="121">
        <v>160000</v>
      </c>
      <c r="F54" s="25"/>
    </row>
    <row r="55" spans="2:6">
      <c r="B55" s="120" t="s">
        <v>395</v>
      </c>
      <c r="C55" s="86">
        <v>400000</v>
      </c>
      <c r="D55" s="121">
        <v>400000</v>
      </c>
      <c r="F55" s="25"/>
    </row>
    <row r="56" spans="2:6">
      <c r="B56" s="120" t="s">
        <v>456</v>
      </c>
      <c r="C56" s="85">
        <v>504169</v>
      </c>
      <c r="D56" s="121">
        <v>381349</v>
      </c>
      <c r="F56" s="25"/>
    </row>
    <row r="57" spans="2:6" s="87" customFormat="1">
      <c r="B57" s="120" t="s">
        <v>551</v>
      </c>
      <c r="C57" s="85">
        <v>0</v>
      </c>
      <c r="D57" s="85">
        <v>2150000</v>
      </c>
      <c r="F57" s="25"/>
    </row>
    <row r="58" spans="2:6">
      <c r="B58" s="120" t="s">
        <v>457</v>
      </c>
      <c r="C58" s="85">
        <v>4537500</v>
      </c>
      <c r="D58" s="121">
        <v>4537500</v>
      </c>
      <c r="F58" s="25"/>
    </row>
    <row r="59" spans="2:6" s="87" customFormat="1">
      <c r="B59" s="120" t="s">
        <v>570</v>
      </c>
      <c r="C59" s="85">
        <v>700000</v>
      </c>
      <c r="D59" s="121"/>
      <c r="F59" s="25"/>
    </row>
    <row r="60" spans="2:6" s="87" customFormat="1">
      <c r="B60" s="120" t="s">
        <v>571</v>
      </c>
      <c r="C60" s="85">
        <v>20705049</v>
      </c>
      <c r="D60" s="121"/>
      <c r="F60" s="25"/>
    </row>
    <row r="61" spans="2:6" s="87" customFormat="1">
      <c r="B61" s="120" t="s">
        <v>572</v>
      </c>
      <c r="C61" s="85">
        <v>335600</v>
      </c>
      <c r="D61" s="121"/>
      <c r="F61" s="25"/>
    </row>
    <row r="62" spans="2:6" s="87" customFormat="1">
      <c r="B62" s="120" t="s">
        <v>546</v>
      </c>
      <c r="C62" s="85">
        <v>3300000</v>
      </c>
      <c r="D62" s="121"/>
      <c r="F62" s="25"/>
    </row>
    <row r="63" spans="2:6" s="87" customFormat="1">
      <c r="B63" s="120" t="s">
        <v>573</v>
      </c>
      <c r="C63" s="85">
        <v>20571790</v>
      </c>
      <c r="D63" s="121"/>
      <c r="F63" s="25"/>
    </row>
    <row r="64" spans="2:6">
      <c r="B64" s="122" t="s">
        <v>234</v>
      </c>
      <c r="C64" s="128">
        <f>SUM(C54:C63)</f>
        <v>51214108</v>
      </c>
      <c r="D64" s="128">
        <f>SUM(D54:D58)</f>
        <v>7628849</v>
      </c>
      <c r="E64" s="40"/>
      <c r="F64" s="26"/>
    </row>
    <row r="66" spans="2:6">
      <c r="B66" s="287" t="s">
        <v>517</v>
      </c>
    </row>
    <row r="67" spans="2:6">
      <c r="B67" s="119" t="s">
        <v>199</v>
      </c>
      <c r="C67" s="119" t="s">
        <v>206</v>
      </c>
      <c r="D67" s="119" t="s">
        <v>268</v>
      </c>
    </row>
    <row r="68" spans="2:6">
      <c r="B68" s="120" t="s">
        <v>269</v>
      </c>
      <c r="C68" s="82">
        <v>60925348</v>
      </c>
      <c r="D68" s="121"/>
    </row>
    <row r="69" spans="2:6">
      <c r="B69" s="122" t="s">
        <v>234</v>
      </c>
      <c r="C69" s="128">
        <f>+C68</f>
        <v>60925348</v>
      </c>
      <c r="D69" s="128">
        <f>+D68</f>
        <v>0</v>
      </c>
      <c r="E69" s="40"/>
      <c r="F69" s="40"/>
    </row>
    <row r="71" spans="2:6">
      <c r="C71" s="40"/>
    </row>
  </sheetData>
  <mergeCells count="6">
    <mergeCell ref="B52:E52"/>
    <mergeCell ref="B6:B7"/>
    <mergeCell ref="B13:F13"/>
    <mergeCell ref="B15:E15"/>
    <mergeCell ref="B27:D27"/>
    <mergeCell ref="B51:D51"/>
  </mergeCells>
  <pageMargins left="0.7" right="0.7" top="0.75" bottom="0.75" header="0.3" footer="0.3"/>
  <pageSetup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3:I36"/>
  <sheetViews>
    <sheetView showGridLines="0" topLeftCell="A10" zoomScaleNormal="100" workbookViewId="0">
      <selection activeCell="C18" sqref="C18"/>
    </sheetView>
  </sheetViews>
  <sheetFormatPr baseColWidth="10" defaultColWidth="11.42578125" defaultRowHeight="15"/>
  <cols>
    <col min="1" max="1" width="5.42578125" style="27" customWidth="1"/>
    <col min="2" max="2" width="68.42578125" style="27" bestFit="1" customWidth="1"/>
    <col min="3" max="3" width="17.7109375" style="27" bestFit="1" customWidth="1"/>
    <col min="4" max="4" width="19.28515625" style="27" bestFit="1" customWidth="1"/>
    <col min="5" max="6" width="11.42578125" style="27"/>
    <col min="7" max="7" width="22.140625" style="27" customWidth="1"/>
    <col min="8" max="16384" width="11.42578125" style="27"/>
  </cols>
  <sheetData>
    <row r="3" spans="2:6">
      <c r="B3" s="462" t="s">
        <v>270</v>
      </c>
      <c r="C3" s="462"/>
      <c r="D3" s="462"/>
      <c r="E3" s="462"/>
    </row>
    <row r="4" spans="2:6">
      <c r="B4" s="296" t="s">
        <v>469</v>
      </c>
      <c r="C4" s="295"/>
      <c r="D4" s="295"/>
      <c r="E4" s="295"/>
    </row>
    <row r="5" spans="2:6">
      <c r="B5" s="294"/>
      <c r="C5" s="294"/>
      <c r="D5" s="294"/>
      <c r="E5" s="294"/>
    </row>
    <row r="6" spans="2:6">
      <c r="B6" s="463" t="s">
        <v>509</v>
      </c>
      <c r="C6" s="463"/>
      <c r="D6" s="463"/>
      <c r="E6" s="294"/>
    </row>
    <row r="7" spans="2:6">
      <c r="B7" s="296" t="s">
        <v>469</v>
      </c>
      <c r="C7" s="297"/>
      <c r="D7" s="297"/>
      <c r="E7" s="294"/>
    </row>
    <row r="8" spans="2:6">
      <c r="B8" s="296"/>
      <c r="C8" s="297"/>
      <c r="D8" s="297"/>
      <c r="E8" s="294"/>
    </row>
    <row r="9" spans="2:6">
      <c r="B9" s="282" t="s">
        <v>271</v>
      </c>
      <c r="C9" s="294"/>
      <c r="D9" s="294"/>
      <c r="E9" s="294"/>
    </row>
    <row r="10" spans="2:6">
      <c r="B10" s="294" t="s">
        <v>469</v>
      </c>
      <c r="C10" s="294"/>
      <c r="D10" s="294"/>
      <c r="E10" s="294"/>
    </row>
    <row r="11" spans="2:6">
      <c r="B11" s="294"/>
      <c r="C11" s="294"/>
      <c r="D11" s="294"/>
      <c r="E11" s="294"/>
    </row>
    <row r="12" spans="2:6">
      <c r="B12" s="462" t="s">
        <v>272</v>
      </c>
      <c r="C12" s="462"/>
      <c r="D12" s="294"/>
      <c r="E12" s="294"/>
    </row>
    <row r="13" spans="2:6">
      <c r="B13" s="295"/>
      <c r="C13" s="295"/>
      <c r="D13" s="294"/>
      <c r="E13" s="294"/>
    </row>
    <row r="14" spans="2:6" s="87" customFormat="1" ht="15.75" thickBot="1">
      <c r="B14" s="457" t="s">
        <v>211</v>
      </c>
      <c r="C14" s="457"/>
      <c r="D14" s="457"/>
      <c r="E14" s="457"/>
      <c r="F14" s="21"/>
    </row>
    <row r="15" spans="2:6" s="87" customFormat="1">
      <c r="B15" s="91" t="s">
        <v>199</v>
      </c>
      <c r="C15" s="118" t="s">
        <v>206</v>
      </c>
      <c r="D15" s="118" t="s">
        <v>268</v>
      </c>
      <c r="F15" s="21"/>
    </row>
    <row r="16" spans="2:6" s="87" customFormat="1">
      <c r="B16" s="120" t="s">
        <v>459</v>
      </c>
      <c r="C16" s="86">
        <v>942256641</v>
      </c>
      <c r="D16" s="121">
        <v>202181831</v>
      </c>
      <c r="F16" s="25"/>
    </row>
    <row r="17" spans="2:9" s="87" customFormat="1">
      <c r="B17" s="120" t="s">
        <v>549</v>
      </c>
      <c r="C17" s="116">
        <v>548846848</v>
      </c>
      <c r="D17" s="121"/>
      <c r="F17" s="25"/>
    </row>
    <row r="18" spans="2:9" s="87" customFormat="1">
      <c r="B18" s="120" t="s">
        <v>577</v>
      </c>
      <c r="C18" s="116">
        <v>4646868</v>
      </c>
      <c r="D18" s="121"/>
      <c r="F18" s="25"/>
    </row>
    <row r="19" spans="2:9" s="87" customFormat="1">
      <c r="B19" s="120"/>
      <c r="C19" s="116"/>
      <c r="D19" s="121"/>
      <c r="F19" s="25"/>
    </row>
    <row r="20" spans="2:9" s="87" customFormat="1">
      <c r="B20" s="122" t="s">
        <v>234</v>
      </c>
      <c r="C20" s="128">
        <f>SUM(C16:C19)</f>
        <v>1495750357</v>
      </c>
      <c r="D20" s="128">
        <f>SUM(D16:D19)</f>
        <v>202181831</v>
      </c>
      <c r="E20" s="40"/>
      <c r="F20" s="26"/>
    </row>
    <row r="21" spans="2:9">
      <c r="B21" s="237"/>
      <c r="C21" s="237"/>
    </row>
    <row r="23" spans="2:9">
      <c r="B23" s="282" t="s">
        <v>274</v>
      </c>
      <c r="C23" s="294"/>
      <c r="D23" s="294"/>
    </row>
    <row r="24" spans="2:9" ht="15.75" hidden="1" thickBot="1">
      <c r="B24" s="300" t="s">
        <v>510</v>
      </c>
      <c r="C24" s="298"/>
      <c r="D24" s="298"/>
      <c r="F24" s="71"/>
    </row>
    <row r="25" spans="2:9" ht="77.25" hidden="1" thickBot="1">
      <c r="B25" s="327" t="s">
        <v>537</v>
      </c>
      <c r="C25" s="298"/>
      <c r="D25" s="298"/>
      <c r="F25" s="71"/>
    </row>
    <row r="26" spans="2:9" ht="15.75" hidden="1" thickBot="1">
      <c r="B26" s="300" t="s">
        <v>511</v>
      </c>
      <c r="C26" s="298"/>
      <c r="D26" s="298"/>
      <c r="F26" s="71"/>
    </row>
    <row r="27" spans="2:9">
      <c r="B27" s="294" t="s">
        <v>469</v>
      </c>
      <c r="C27" s="299"/>
      <c r="D27" s="299"/>
      <c r="F27" s="71"/>
    </row>
    <row r="28" spans="2:9">
      <c r="B28" s="294"/>
      <c r="C28" s="294"/>
      <c r="D28" s="294"/>
    </row>
    <row r="29" spans="2:9">
      <c r="B29" s="464" t="s">
        <v>275</v>
      </c>
      <c r="C29" s="464"/>
      <c r="D29" s="464"/>
    </row>
    <row r="30" spans="2:9">
      <c r="B30" s="283" t="s">
        <v>470</v>
      </c>
      <c r="C30" s="294"/>
      <c r="D30" s="294"/>
    </row>
    <row r="31" spans="2:9">
      <c r="B31" s="294"/>
      <c r="C31" s="294"/>
      <c r="D31" s="294"/>
      <c r="F31" s="72"/>
      <c r="G31" s="73"/>
      <c r="H31" s="73"/>
      <c r="I31" s="73"/>
    </row>
    <row r="32" spans="2:9">
      <c r="B32" s="28"/>
      <c r="C32" s="29"/>
      <c r="D32" s="29"/>
      <c r="F32" s="72"/>
    </row>
    <row r="33" spans="2:6">
      <c r="B33" s="30"/>
      <c r="C33" s="31"/>
      <c r="D33" s="32"/>
      <c r="F33" s="72"/>
    </row>
    <row r="34" spans="2:6">
      <c r="B34" s="33"/>
      <c r="C34" s="34"/>
      <c r="D34" s="35"/>
    </row>
    <row r="35" spans="2:6">
      <c r="B35" s="33"/>
      <c r="C35" s="34"/>
      <c r="D35" s="35"/>
    </row>
    <row r="36" spans="2:6">
      <c r="B36" s="36"/>
      <c r="C36" s="37"/>
      <c r="D36" s="38"/>
    </row>
  </sheetData>
  <mergeCells count="5">
    <mergeCell ref="B14:E14"/>
    <mergeCell ref="B3:E3"/>
    <mergeCell ref="B6:D6"/>
    <mergeCell ref="B12:C12"/>
    <mergeCell ref="B29:D29"/>
  </mergeCells>
  <pageMargins left="0.70866141732283472" right="0.70866141732283472" top="1.3385826771653544" bottom="0.74803149606299213"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3:G87"/>
  <sheetViews>
    <sheetView showGridLines="0" topLeftCell="A22" zoomScale="102" zoomScaleNormal="102" workbookViewId="0">
      <selection activeCell="C29" sqref="C29"/>
    </sheetView>
  </sheetViews>
  <sheetFormatPr baseColWidth="10" defaultColWidth="11.42578125" defaultRowHeight="12.75"/>
  <cols>
    <col min="1" max="1" width="5.5703125" style="42" customWidth="1"/>
    <col min="2" max="2" width="55.28515625" style="42" bestFit="1" customWidth="1"/>
    <col min="3" max="3" width="19.42578125" style="42" bestFit="1" customWidth="1"/>
    <col min="4" max="4" width="19.7109375" style="42" bestFit="1" customWidth="1"/>
    <col min="5" max="5" width="15.42578125" style="42" customWidth="1"/>
    <col min="6" max="6" width="14.5703125" style="42" customWidth="1"/>
    <col min="7" max="7" width="17.7109375" style="42" bestFit="1" customWidth="1"/>
    <col min="8" max="8" width="19.5703125" style="42" customWidth="1"/>
    <col min="9" max="16384" width="11.42578125" style="42"/>
  </cols>
  <sheetData>
    <row r="3" spans="2:7">
      <c r="B3" s="292" t="s">
        <v>276</v>
      </c>
      <c r="C3" s="292"/>
      <c r="D3" s="292"/>
      <c r="E3" s="292"/>
      <c r="F3" s="289"/>
      <c r="G3" s="41"/>
    </row>
    <row r="4" spans="2:7">
      <c r="B4" s="465"/>
      <c r="C4" s="465"/>
      <c r="D4" s="465"/>
      <c r="E4" s="465"/>
      <c r="F4" s="281"/>
    </row>
    <row r="5" spans="2:7">
      <c r="B5" s="281"/>
      <c r="C5" s="293"/>
      <c r="D5" s="281"/>
      <c r="E5" s="281"/>
      <c r="F5" s="281"/>
    </row>
    <row r="6" spans="2:7">
      <c r="B6" s="449" t="s">
        <v>277</v>
      </c>
      <c r="C6" s="449"/>
      <c r="D6" s="449"/>
      <c r="E6" s="449"/>
      <c r="F6" s="449"/>
    </row>
    <row r="7" spans="2:7" ht="44.25" customHeight="1">
      <c r="B7" s="114" t="s">
        <v>199</v>
      </c>
      <c r="C7" s="114" t="s">
        <v>278</v>
      </c>
      <c r="D7" s="114" t="s">
        <v>255</v>
      </c>
      <c r="E7" s="114" t="s">
        <v>279</v>
      </c>
      <c r="F7" s="114" t="s">
        <v>280</v>
      </c>
    </row>
    <row r="8" spans="2:7">
      <c r="B8" s="115" t="s">
        <v>69</v>
      </c>
      <c r="C8" s="106">
        <v>10000000</v>
      </c>
      <c r="D8" s="106">
        <v>3099770806</v>
      </c>
      <c r="E8" s="116">
        <v>0</v>
      </c>
      <c r="F8" s="106">
        <f t="shared" ref="F8:F13" si="0">SUM(C8:E8)</f>
        <v>3109770806</v>
      </c>
      <c r="G8" s="43"/>
    </row>
    <row r="9" spans="2:7">
      <c r="B9" s="115" t="s">
        <v>437</v>
      </c>
      <c r="C9" s="106">
        <v>0</v>
      </c>
      <c r="D9" s="106">
        <v>0</v>
      </c>
      <c r="E9" s="116">
        <v>610380405</v>
      </c>
      <c r="F9" s="106">
        <f t="shared" si="0"/>
        <v>610380405</v>
      </c>
      <c r="G9" s="43"/>
    </row>
    <row r="10" spans="2:7">
      <c r="B10" s="115" t="s">
        <v>281</v>
      </c>
      <c r="C10" s="106">
        <v>0</v>
      </c>
      <c r="D10" s="116"/>
      <c r="E10" s="109"/>
      <c r="F10" s="106">
        <f t="shared" si="0"/>
        <v>0</v>
      </c>
      <c r="G10" s="43"/>
    </row>
    <row r="11" spans="2:7">
      <c r="B11" s="115" t="s">
        <v>282</v>
      </c>
      <c r="C11" s="106">
        <v>0</v>
      </c>
      <c r="D11" s="106"/>
      <c r="E11" s="109">
        <v>0</v>
      </c>
      <c r="F11" s="106">
        <f t="shared" si="0"/>
        <v>0</v>
      </c>
      <c r="G11" s="43"/>
    </row>
    <row r="12" spans="2:7" ht="18.75" customHeight="1">
      <c r="B12" s="115" t="s">
        <v>283</v>
      </c>
      <c r="C12" s="106">
        <v>-226366</v>
      </c>
      <c r="D12" s="117">
        <v>0</v>
      </c>
      <c r="E12" s="106">
        <f>-124627045+226366</f>
        <v>-124400679</v>
      </c>
      <c r="F12" s="106">
        <f t="shared" si="0"/>
        <v>-124627045</v>
      </c>
      <c r="G12" s="43"/>
    </row>
    <row r="13" spans="2:7">
      <c r="B13" s="115" t="s">
        <v>284</v>
      </c>
      <c r="C13" s="117">
        <v>0</v>
      </c>
      <c r="D13" s="106"/>
      <c r="E13" s="106">
        <v>-448632166</v>
      </c>
      <c r="F13" s="106">
        <f t="shared" si="0"/>
        <v>-448632166</v>
      </c>
      <c r="G13" s="43"/>
    </row>
    <row r="14" spans="2:7">
      <c r="B14" s="110" t="s">
        <v>285</v>
      </c>
      <c r="C14" s="111">
        <f>SUM(C8:C13)</f>
        <v>9773634</v>
      </c>
      <c r="D14" s="111">
        <f>SUM(D8:D13)</f>
        <v>3099770806</v>
      </c>
      <c r="E14" s="111">
        <f>SUM(E8:E13)</f>
        <v>37347560</v>
      </c>
      <c r="F14" s="111">
        <f>SUM(F8:F13)</f>
        <v>3146892000</v>
      </c>
      <c r="G14" s="43"/>
    </row>
    <row r="16" spans="2:7">
      <c r="B16" s="287" t="s">
        <v>286</v>
      </c>
      <c r="C16" s="281"/>
      <c r="D16" s="281"/>
      <c r="E16" s="281"/>
      <c r="F16" s="281"/>
    </row>
    <row r="17" spans="2:6">
      <c r="B17" s="284" t="s">
        <v>469</v>
      </c>
      <c r="C17" s="281"/>
      <c r="D17" s="281"/>
      <c r="E17" s="281"/>
      <c r="F17" s="281"/>
    </row>
    <row r="18" spans="2:6">
      <c r="B18" s="281"/>
      <c r="C18" s="281"/>
      <c r="D18" s="281"/>
      <c r="E18" s="281"/>
      <c r="F18" s="281"/>
    </row>
    <row r="19" spans="2:6">
      <c r="B19" s="449" t="s">
        <v>287</v>
      </c>
      <c r="C19" s="449"/>
      <c r="D19" s="449"/>
      <c r="E19" s="449"/>
      <c r="F19" s="449"/>
    </row>
    <row r="20" spans="2:6">
      <c r="B20" s="287" t="s">
        <v>288</v>
      </c>
      <c r="C20" s="281"/>
      <c r="D20" s="281"/>
      <c r="E20" s="281"/>
      <c r="F20" s="281"/>
    </row>
    <row r="21" spans="2:6">
      <c r="B21" s="285" t="s">
        <v>469</v>
      </c>
      <c r="C21" s="281"/>
      <c r="D21" s="281"/>
      <c r="E21" s="281"/>
      <c r="F21" s="281"/>
    </row>
    <row r="22" spans="2:6">
      <c r="B22" s="326"/>
      <c r="C22" s="281"/>
      <c r="D22" s="281"/>
      <c r="E22" s="281"/>
      <c r="F22" s="281"/>
    </row>
    <row r="23" spans="2:6">
      <c r="C23" s="281"/>
      <c r="D23" s="281"/>
      <c r="E23" s="281"/>
      <c r="F23" s="281"/>
    </row>
    <row r="24" spans="2:6">
      <c r="B24" s="285" t="s">
        <v>211</v>
      </c>
      <c r="C24" s="281"/>
      <c r="D24" s="281"/>
      <c r="E24" s="281"/>
      <c r="F24" s="281"/>
    </row>
    <row r="25" spans="2:6">
      <c r="B25" s="452" t="s">
        <v>199</v>
      </c>
      <c r="C25" s="119" t="s">
        <v>289</v>
      </c>
      <c r="D25" s="119" t="s">
        <v>291</v>
      </c>
    </row>
    <row r="26" spans="2:6">
      <c r="B26" s="452"/>
      <c r="C26" s="119" t="s">
        <v>290</v>
      </c>
      <c r="D26" s="119" t="s">
        <v>292</v>
      </c>
    </row>
    <row r="27" spans="2:6">
      <c r="B27" s="120" t="s">
        <v>293</v>
      </c>
      <c r="C27" s="86">
        <v>0</v>
      </c>
      <c r="D27" s="121">
        <v>0</v>
      </c>
      <c r="E27" s="77"/>
      <c r="F27" s="44"/>
    </row>
    <row r="28" spans="2:6">
      <c r="B28" s="120" t="s">
        <v>294</v>
      </c>
      <c r="C28" s="86">
        <f>7521560+990037</f>
        <v>8511597</v>
      </c>
      <c r="D28" s="121">
        <v>1371639</v>
      </c>
      <c r="F28" s="44"/>
    </row>
    <row r="29" spans="2:6">
      <c r="B29" s="120" t="s">
        <v>379</v>
      </c>
      <c r="C29" s="86">
        <v>0</v>
      </c>
      <c r="D29" s="121">
        <v>1304</v>
      </c>
      <c r="E29" s="77"/>
      <c r="F29" s="44"/>
    </row>
    <row r="30" spans="2:6">
      <c r="B30" s="120" t="s">
        <v>381</v>
      </c>
      <c r="C30" s="86">
        <v>7309234</v>
      </c>
      <c r="D30" s="121">
        <v>0</v>
      </c>
      <c r="F30" s="44"/>
    </row>
    <row r="31" spans="2:6">
      <c r="B31" s="120" t="s">
        <v>380</v>
      </c>
      <c r="C31" s="86">
        <v>1471936</v>
      </c>
      <c r="D31" s="121">
        <v>0</v>
      </c>
      <c r="F31" s="44"/>
    </row>
    <row r="32" spans="2:6">
      <c r="B32" s="120" t="s">
        <v>295</v>
      </c>
      <c r="C32" s="86">
        <v>4736539</v>
      </c>
      <c r="D32" s="121">
        <v>20434</v>
      </c>
      <c r="F32" s="44"/>
    </row>
    <row r="33" spans="2:6">
      <c r="B33" s="122" t="s">
        <v>234</v>
      </c>
      <c r="C33" s="121">
        <f>SUM(C27:C32)</f>
        <v>22029306</v>
      </c>
      <c r="D33" s="121">
        <f>SUM(D27:D32)</f>
        <v>1393377</v>
      </c>
      <c r="F33" s="45"/>
    </row>
    <row r="36" spans="2:6">
      <c r="B36" s="287" t="s">
        <v>296</v>
      </c>
    </row>
    <row r="37" spans="2:6">
      <c r="B37" s="280" t="s">
        <v>297</v>
      </c>
    </row>
    <row r="38" spans="2:6">
      <c r="B38" s="284" t="s">
        <v>211</v>
      </c>
    </row>
    <row r="39" spans="2:6">
      <c r="B39" s="423" t="s">
        <v>273</v>
      </c>
      <c r="C39" s="114" t="s">
        <v>298</v>
      </c>
      <c r="D39" s="123" t="s">
        <v>303</v>
      </c>
    </row>
    <row r="40" spans="2:6">
      <c r="B40" s="423"/>
      <c r="C40" s="114" t="s">
        <v>182</v>
      </c>
      <c r="D40" s="123" t="s">
        <v>299</v>
      </c>
    </row>
    <row r="41" spans="2:6">
      <c r="B41" s="124" t="s">
        <v>300</v>
      </c>
      <c r="C41" s="116">
        <f>--20715810</f>
        <v>20715810</v>
      </c>
      <c r="D41" s="125">
        <v>5950781</v>
      </c>
      <c r="F41" s="46"/>
    </row>
    <row r="42" spans="2:6">
      <c r="B42" s="124" t="s">
        <v>349</v>
      </c>
      <c r="C42" s="116">
        <f>--797621</f>
        <v>797621</v>
      </c>
      <c r="D42" s="125">
        <v>0</v>
      </c>
      <c r="F42" s="46"/>
    </row>
    <row r="43" spans="2:6">
      <c r="B43" s="124" t="s">
        <v>301</v>
      </c>
      <c r="C43" s="116">
        <f>--2595338</f>
        <v>2595338</v>
      </c>
      <c r="D43" s="125">
        <v>0</v>
      </c>
      <c r="F43" s="46"/>
    </row>
    <row r="44" spans="2:6">
      <c r="B44" s="124" t="s">
        <v>302</v>
      </c>
      <c r="C44" s="116">
        <v>0</v>
      </c>
      <c r="D44" s="125">
        <v>0</v>
      </c>
      <c r="F44" s="46"/>
    </row>
    <row r="45" spans="2:6">
      <c r="B45" s="126" t="s">
        <v>285</v>
      </c>
      <c r="C45" s="127">
        <f>SUM(C41:C44)</f>
        <v>24108769</v>
      </c>
      <c r="D45" s="127">
        <f>SUM(D41:D44)</f>
        <v>5950781</v>
      </c>
      <c r="F45" s="47"/>
    </row>
    <row r="47" spans="2:6">
      <c r="B47" s="280" t="s">
        <v>304</v>
      </c>
      <c r="F47" s="48"/>
    </row>
    <row r="48" spans="2:6">
      <c r="B48" s="284" t="s">
        <v>211</v>
      </c>
    </row>
    <row r="49" spans="2:7">
      <c r="B49" s="423" t="s">
        <v>273</v>
      </c>
      <c r="C49" s="114" t="s">
        <v>298</v>
      </c>
      <c r="D49" s="123" t="s">
        <v>303</v>
      </c>
    </row>
    <row r="50" spans="2:7">
      <c r="B50" s="423"/>
      <c r="C50" s="114" t="s">
        <v>182</v>
      </c>
      <c r="D50" s="123" t="s">
        <v>299</v>
      </c>
    </row>
    <row r="51" spans="2:7">
      <c r="B51" s="124" t="s">
        <v>305</v>
      </c>
      <c r="C51" s="116">
        <v>296937</v>
      </c>
      <c r="D51" s="125">
        <v>63637</v>
      </c>
    </row>
    <row r="52" spans="2:7">
      <c r="B52" s="124" t="s">
        <v>315</v>
      </c>
      <c r="C52" s="116">
        <v>1540502</v>
      </c>
      <c r="D52" s="125">
        <v>250419</v>
      </c>
    </row>
    <row r="53" spans="2:7">
      <c r="B53" s="126" t="s">
        <v>285</v>
      </c>
      <c r="C53" s="127">
        <f>SUM(C51:C52)</f>
        <v>1837439</v>
      </c>
      <c r="D53" s="127">
        <f>SUM(D51:D52)</f>
        <v>314056</v>
      </c>
    </row>
    <row r="56" spans="2:7">
      <c r="B56" s="280" t="s">
        <v>306</v>
      </c>
    </row>
    <row r="57" spans="2:7">
      <c r="B57" s="284" t="s">
        <v>211</v>
      </c>
      <c r="G57" s="75"/>
    </row>
    <row r="58" spans="2:7">
      <c r="B58" s="423" t="s">
        <v>273</v>
      </c>
      <c r="C58" s="114" t="s">
        <v>298</v>
      </c>
      <c r="D58" s="123" t="s">
        <v>303</v>
      </c>
      <c r="G58" s="75"/>
    </row>
    <row r="59" spans="2:7">
      <c r="B59" s="423"/>
      <c r="C59" s="114" t="s">
        <v>182</v>
      </c>
      <c r="D59" s="123" t="s">
        <v>299</v>
      </c>
      <c r="G59" s="75"/>
    </row>
    <row r="60" spans="2:7">
      <c r="B60" s="120" t="s">
        <v>396</v>
      </c>
      <c r="C60" s="86">
        <v>0</v>
      </c>
      <c r="D60" s="86">
        <v>28096342</v>
      </c>
      <c r="G60" s="75"/>
    </row>
    <row r="61" spans="2:7">
      <c r="B61" s="120" t="s">
        <v>307</v>
      </c>
      <c r="C61" s="86">
        <v>15799386</v>
      </c>
      <c r="D61" s="86">
        <v>4709142</v>
      </c>
      <c r="G61" s="75"/>
    </row>
    <row r="62" spans="2:7">
      <c r="B62" s="120" t="s">
        <v>308</v>
      </c>
      <c r="C62" s="86">
        <v>8312820</v>
      </c>
      <c r="D62" s="86">
        <v>4125030</v>
      </c>
      <c r="G62" s="75"/>
    </row>
    <row r="63" spans="2:7">
      <c r="B63" s="120" t="s">
        <v>309</v>
      </c>
      <c r="C63" s="86">
        <v>0</v>
      </c>
      <c r="D63" s="86">
        <v>0</v>
      </c>
      <c r="G63" s="75"/>
    </row>
    <row r="64" spans="2:7">
      <c r="B64" s="120" t="s">
        <v>310</v>
      </c>
      <c r="C64" s="86">
        <v>0</v>
      </c>
      <c r="D64" s="86">
        <v>0</v>
      </c>
    </row>
    <row r="65" spans="2:6">
      <c r="B65" s="120" t="s">
        <v>311</v>
      </c>
      <c r="C65" s="86">
        <v>272454548</v>
      </c>
      <c r="D65" s="86">
        <v>42727273</v>
      </c>
    </row>
    <row r="66" spans="2:6">
      <c r="B66" s="120" t="s">
        <v>312</v>
      </c>
      <c r="C66" s="86">
        <f>1500000+74280005</f>
        <v>75780005</v>
      </c>
      <c r="D66" s="86">
        <v>12474052</v>
      </c>
    </row>
    <row r="67" spans="2:6">
      <c r="B67" s="120" t="s">
        <v>462</v>
      </c>
      <c r="C67" s="86">
        <v>3284805</v>
      </c>
      <c r="D67" s="86">
        <v>0</v>
      </c>
    </row>
    <row r="68" spans="2:6">
      <c r="B68" s="120" t="s">
        <v>313</v>
      </c>
      <c r="C68" s="86">
        <v>0</v>
      </c>
      <c r="D68" s="86">
        <v>0</v>
      </c>
    </row>
    <row r="69" spans="2:6">
      <c r="B69" s="120" t="s">
        <v>352</v>
      </c>
      <c r="C69" s="86">
        <v>0</v>
      </c>
      <c r="D69" s="86">
        <v>68572</v>
      </c>
      <c r="F69" s="78"/>
    </row>
    <row r="70" spans="2:6">
      <c r="B70" s="120" t="s">
        <v>314</v>
      </c>
      <c r="C70" s="86">
        <v>37645153</v>
      </c>
      <c r="D70" s="86">
        <v>12500542</v>
      </c>
    </row>
    <row r="71" spans="2:6">
      <c r="B71" s="120" t="s">
        <v>382</v>
      </c>
      <c r="C71" s="86">
        <f>3108336+2770440</f>
        <v>5878776</v>
      </c>
      <c r="D71" s="86">
        <v>1033888</v>
      </c>
    </row>
    <row r="72" spans="2:6">
      <c r="B72" s="120" t="s">
        <v>316</v>
      </c>
      <c r="C72" s="86">
        <v>3258806</v>
      </c>
      <c r="D72" s="86">
        <v>0</v>
      </c>
    </row>
    <row r="73" spans="2:6">
      <c r="B73" s="120" t="s">
        <v>317</v>
      </c>
      <c r="C73" s="86">
        <v>156700</v>
      </c>
      <c r="D73" s="86">
        <v>150000</v>
      </c>
    </row>
    <row r="74" spans="2:6">
      <c r="B74" s="120" t="s">
        <v>318</v>
      </c>
      <c r="C74" s="86">
        <v>1344029</v>
      </c>
      <c r="D74" s="86">
        <v>165772</v>
      </c>
    </row>
    <row r="75" spans="2:6">
      <c r="B75" s="120" t="s">
        <v>383</v>
      </c>
      <c r="C75" s="86">
        <v>0</v>
      </c>
      <c r="D75" s="86">
        <v>0</v>
      </c>
    </row>
    <row r="76" spans="2:6">
      <c r="B76" s="120" t="s">
        <v>351</v>
      </c>
      <c r="C76" s="86">
        <v>0</v>
      </c>
      <c r="D76" s="86">
        <v>0</v>
      </c>
    </row>
    <row r="77" spans="2:6">
      <c r="B77" s="120" t="s">
        <v>319</v>
      </c>
      <c r="C77" s="86">
        <v>0</v>
      </c>
      <c r="D77" s="86">
        <v>0</v>
      </c>
    </row>
    <row r="78" spans="2:6">
      <c r="B78" s="120" t="s">
        <v>320</v>
      </c>
      <c r="C78" s="86">
        <v>13088507</v>
      </c>
      <c r="D78" s="86">
        <v>1314960</v>
      </c>
    </row>
    <row r="79" spans="2:6">
      <c r="B79" s="120" t="s">
        <v>321</v>
      </c>
      <c r="C79" s="86">
        <v>0</v>
      </c>
      <c r="D79" s="86">
        <v>0</v>
      </c>
    </row>
    <row r="80" spans="2:6">
      <c r="B80" s="120" t="s">
        <v>322</v>
      </c>
      <c r="C80" s="86">
        <v>0</v>
      </c>
      <c r="D80" s="86">
        <v>0</v>
      </c>
    </row>
    <row r="81" spans="2:4">
      <c r="B81" s="120" t="s">
        <v>323</v>
      </c>
      <c r="C81" s="86">
        <f>35725961+500000</f>
        <v>36225961</v>
      </c>
      <c r="D81" s="86">
        <v>0</v>
      </c>
    </row>
    <row r="82" spans="2:4">
      <c r="B82" s="120" t="s">
        <v>324</v>
      </c>
      <c r="C82" s="86">
        <v>0</v>
      </c>
      <c r="D82" s="86">
        <v>162480</v>
      </c>
    </row>
    <row r="83" spans="2:4">
      <c r="B83" s="122" t="s">
        <v>285</v>
      </c>
      <c r="C83" s="128">
        <f>SUM(C60:C82)</f>
        <v>473229496</v>
      </c>
      <c r="D83" s="128">
        <f>SUM(D60:D82)</f>
        <v>107528053</v>
      </c>
    </row>
    <row r="84" spans="2:4">
      <c r="B84" s="49"/>
      <c r="C84" s="26"/>
      <c r="D84" s="26"/>
    </row>
    <row r="85" spans="2:4">
      <c r="B85" s="49"/>
      <c r="C85" s="235"/>
      <c r="D85" s="26"/>
    </row>
    <row r="86" spans="2:4">
      <c r="B86" s="49"/>
      <c r="C86" s="26"/>
      <c r="D86" s="26"/>
    </row>
    <row r="87" spans="2:4">
      <c r="B87" s="49"/>
      <c r="C87" s="26"/>
      <c r="D87" s="26"/>
    </row>
  </sheetData>
  <mergeCells count="7">
    <mergeCell ref="B49:B50"/>
    <mergeCell ref="B58:B59"/>
    <mergeCell ref="B4:E4"/>
    <mergeCell ref="B6:F6"/>
    <mergeCell ref="B19:F19"/>
    <mergeCell ref="B25:B26"/>
    <mergeCell ref="B39:B40"/>
  </mergeCells>
  <pageMargins left="0.70866141732283472" right="0.70866141732283472" top="1.3385826771653544" bottom="0.74803149606299213" header="0.31496062992125984" footer="0.31496062992125984"/>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2:F39"/>
  <sheetViews>
    <sheetView showGridLines="0" zoomScale="102" zoomScaleNormal="102" workbookViewId="0">
      <selection activeCell="C8" sqref="C8"/>
    </sheetView>
  </sheetViews>
  <sheetFormatPr baseColWidth="10" defaultColWidth="10.85546875" defaultRowHeight="15"/>
  <cols>
    <col min="1" max="1" width="4.7109375" customWidth="1"/>
    <col min="2" max="2" width="32.28515625" customWidth="1"/>
    <col min="3" max="3" width="20.5703125" customWidth="1"/>
    <col min="4" max="4" width="23" customWidth="1"/>
    <col min="5" max="5" width="16.140625" customWidth="1"/>
    <col min="8" max="8" width="16.5703125" customWidth="1"/>
    <col min="9" max="9" width="15.5703125" customWidth="1"/>
  </cols>
  <sheetData>
    <row r="2" spans="2:6" s="87" customFormat="1"/>
    <row r="3" spans="2:6">
      <c r="B3" s="458" t="s">
        <v>325</v>
      </c>
      <c r="C3" s="458"/>
      <c r="D3" s="458"/>
      <c r="E3" s="458"/>
      <c r="F3" s="458"/>
    </row>
    <row r="4" spans="2:6">
      <c r="B4" s="457"/>
      <c r="C4" s="457"/>
      <c r="D4" s="457"/>
      <c r="E4" s="457"/>
      <c r="F4" s="457"/>
    </row>
    <row r="5" spans="2:6">
      <c r="B5" s="291" t="s">
        <v>506</v>
      </c>
      <c r="C5" s="291"/>
      <c r="D5" s="291"/>
      <c r="E5" s="289"/>
      <c r="F5" s="281"/>
    </row>
    <row r="6" spans="2:6">
      <c r="B6" s="258"/>
      <c r="C6" s="258"/>
      <c r="D6" s="258"/>
      <c r="E6" s="90"/>
    </row>
    <row r="7" spans="2:6" ht="25.15" customHeight="1">
      <c r="B7" s="259" t="s">
        <v>273</v>
      </c>
      <c r="C7" s="260" t="s">
        <v>263</v>
      </c>
      <c r="D7" s="260" t="s">
        <v>326</v>
      </c>
    </row>
    <row r="8" spans="2:6">
      <c r="B8" s="261" t="s">
        <v>105</v>
      </c>
      <c r="C8" s="262">
        <v>21220815</v>
      </c>
      <c r="D8" s="262">
        <v>2456368</v>
      </c>
    </row>
    <row r="9" spans="2:6">
      <c r="B9" s="261" t="s">
        <v>575</v>
      </c>
      <c r="C9" s="262">
        <v>9067188</v>
      </c>
      <c r="D9" s="262"/>
    </row>
    <row r="10" spans="2:6">
      <c r="B10" s="261"/>
      <c r="C10" s="262"/>
      <c r="D10" s="262"/>
    </row>
    <row r="11" spans="2:6">
      <c r="B11" s="261"/>
      <c r="C11" s="262"/>
      <c r="D11" s="262"/>
    </row>
    <row r="12" spans="2:6">
      <c r="B12" s="261"/>
      <c r="C12" s="262"/>
      <c r="D12" s="262"/>
    </row>
    <row r="13" spans="2:6">
      <c r="B13" s="263" t="s">
        <v>327</v>
      </c>
      <c r="C13" s="264">
        <f>SUM(C8:C12)</f>
        <v>30288003</v>
      </c>
      <c r="D13" s="264">
        <f>SUM(D8:D12)</f>
        <v>2456368</v>
      </c>
    </row>
    <row r="14" spans="2:6">
      <c r="B14" s="249"/>
      <c r="C14" s="249"/>
      <c r="D14" s="249"/>
    </row>
    <row r="15" spans="2:6">
      <c r="B15" s="248" t="s">
        <v>466</v>
      </c>
      <c r="C15" s="249"/>
      <c r="D15" s="249"/>
    </row>
    <row r="16" spans="2:6" ht="30">
      <c r="B16" s="259" t="s">
        <v>273</v>
      </c>
      <c r="C16" s="260" t="s">
        <v>263</v>
      </c>
      <c r="D16" s="260" t="s">
        <v>326</v>
      </c>
    </row>
    <row r="17" spans="2:6">
      <c r="B17" s="265" t="s">
        <v>465</v>
      </c>
      <c r="C17" s="266">
        <v>0</v>
      </c>
      <c r="D17" s="266"/>
    </row>
    <row r="18" spans="2:6">
      <c r="B18" s="263" t="s">
        <v>327</v>
      </c>
      <c r="C18" s="267">
        <v>0</v>
      </c>
      <c r="D18" s="267">
        <v>0</v>
      </c>
    </row>
    <row r="20" spans="2:6">
      <c r="B20" s="287" t="s">
        <v>328</v>
      </c>
      <c r="C20" s="281"/>
      <c r="D20" s="281"/>
      <c r="E20" s="281"/>
      <c r="F20" s="281"/>
    </row>
    <row r="21" spans="2:6">
      <c r="B21" s="457" t="s">
        <v>211</v>
      </c>
      <c r="C21" s="457"/>
      <c r="D21" s="457"/>
      <c r="E21" s="457"/>
      <c r="F21" s="457"/>
    </row>
    <row r="22" spans="2:6">
      <c r="B22" s="325"/>
    </row>
    <row r="23" spans="2:6">
      <c r="B23" s="280" t="s">
        <v>507</v>
      </c>
    </row>
    <row r="24" spans="2:6" ht="30">
      <c r="B24" s="99" t="s">
        <v>273</v>
      </c>
      <c r="C24" s="100" t="s">
        <v>263</v>
      </c>
      <c r="D24" s="100" t="s">
        <v>326</v>
      </c>
    </row>
    <row r="25" spans="2:6">
      <c r="B25" s="93" t="s">
        <v>397</v>
      </c>
      <c r="C25" s="236">
        <v>1896744</v>
      </c>
      <c r="D25" s="95">
        <v>15408</v>
      </c>
    </row>
    <row r="26" spans="2:6">
      <c r="B26" s="93" t="s">
        <v>460</v>
      </c>
      <c r="C26" s="236">
        <v>1764383</v>
      </c>
      <c r="D26" s="95">
        <v>5000284</v>
      </c>
    </row>
    <row r="27" spans="2:6">
      <c r="B27" s="93" t="s">
        <v>461</v>
      </c>
      <c r="C27" s="236">
        <v>36832602</v>
      </c>
      <c r="D27" s="95">
        <v>16046314</v>
      </c>
    </row>
    <row r="28" spans="2:6">
      <c r="B28" s="93" t="s">
        <v>574</v>
      </c>
      <c r="C28" s="236">
        <v>7079152</v>
      </c>
      <c r="D28" s="95"/>
    </row>
    <row r="29" spans="2:6">
      <c r="B29" s="96" t="s">
        <v>327</v>
      </c>
      <c r="C29" s="97">
        <f>SUM(C25:C28)</f>
        <v>47572881</v>
      </c>
      <c r="D29" s="98">
        <f>SUM(D25:D28)</f>
        <v>21062006</v>
      </c>
    </row>
    <row r="31" spans="2:6">
      <c r="B31" s="280" t="s">
        <v>508</v>
      </c>
    </row>
    <row r="32" spans="2:6" ht="25.5">
      <c r="B32" s="113" t="s">
        <v>273</v>
      </c>
      <c r="C32" s="114" t="s">
        <v>263</v>
      </c>
      <c r="D32" s="114" t="s">
        <v>326</v>
      </c>
    </row>
    <row r="33" spans="2:4">
      <c r="B33" s="105" t="s">
        <v>547</v>
      </c>
      <c r="C33" s="106">
        <v>10076115</v>
      </c>
      <c r="D33" s="107">
        <v>0</v>
      </c>
    </row>
    <row r="34" spans="2:4">
      <c r="B34" s="105"/>
      <c r="C34" s="106"/>
      <c r="D34" s="108"/>
    </row>
    <row r="35" spans="2:4">
      <c r="B35" s="105"/>
      <c r="C35" s="109"/>
      <c r="D35" s="108"/>
    </row>
    <row r="36" spans="2:4">
      <c r="B36" s="110" t="s">
        <v>327</v>
      </c>
      <c r="C36" s="111">
        <f>SUM(C33:C35)</f>
        <v>10076115</v>
      </c>
      <c r="D36" s="112">
        <f>SUM(D33:D35)</f>
        <v>0</v>
      </c>
    </row>
    <row r="38" spans="2:4">
      <c r="B38" s="280" t="s">
        <v>329</v>
      </c>
    </row>
    <row r="39" spans="2:4">
      <c r="B39" s="284" t="s">
        <v>252</v>
      </c>
    </row>
  </sheetData>
  <mergeCells count="3">
    <mergeCell ref="B3:F3"/>
    <mergeCell ref="B4:F4"/>
    <mergeCell ref="B21:F21"/>
  </mergeCells>
  <pageMargins left="0.70866141732283472" right="0.70866141732283472" top="1.1417322834645669" bottom="0.74803149606299213" header="0.31496062992125984" footer="0.31496062992125984"/>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2:E38"/>
  <sheetViews>
    <sheetView showGridLines="0" zoomScale="99" zoomScaleNormal="99" workbookViewId="0">
      <selection activeCell="E33" sqref="E33"/>
    </sheetView>
  </sheetViews>
  <sheetFormatPr baseColWidth="10" defaultColWidth="10.85546875" defaultRowHeight="15"/>
  <cols>
    <col min="1" max="1" width="5" customWidth="1"/>
    <col min="2" max="2" width="3.140625" style="179" customWidth="1"/>
    <col min="3" max="3" width="92.5703125" customWidth="1"/>
    <col min="5" max="5" width="14.28515625" customWidth="1"/>
  </cols>
  <sheetData>
    <row r="2" spans="2:5" ht="35.25" customHeight="1">
      <c r="B2" s="164" t="s">
        <v>330</v>
      </c>
      <c r="C2" s="458" t="s">
        <v>331</v>
      </c>
      <c r="D2" s="458"/>
      <c r="E2" s="458"/>
    </row>
    <row r="3" spans="2:5">
      <c r="C3" s="449" t="s">
        <v>332</v>
      </c>
      <c r="D3" s="449"/>
      <c r="E3" s="449"/>
    </row>
    <row r="4" spans="2:5">
      <c r="C4" s="457" t="s">
        <v>469</v>
      </c>
      <c r="D4" s="457"/>
      <c r="E4" s="457"/>
    </row>
    <row r="5" spans="2:5">
      <c r="C5" s="281"/>
      <c r="D5" s="281"/>
      <c r="E5" s="281"/>
    </row>
    <row r="6" spans="2:5">
      <c r="C6" s="449" t="s">
        <v>333</v>
      </c>
      <c r="D6" s="449"/>
      <c r="E6" s="449"/>
    </row>
    <row r="7" spans="2:5">
      <c r="C7" s="457" t="s">
        <v>469</v>
      </c>
      <c r="D7" s="457"/>
      <c r="E7" s="281"/>
    </row>
    <row r="8" spans="2:5" ht="33" customHeight="1">
      <c r="C8" s="458" t="s">
        <v>505</v>
      </c>
      <c r="D8" s="458"/>
      <c r="E8" s="458"/>
    </row>
    <row r="10" spans="2:5">
      <c r="C10" s="92" t="s">
        <v>334</v>
      </c>
      <c r="D10" s="15"/>
      <c r="E10" s="15"/>
    </row>
    <row r="11" spans="2:5">
      <c r="C11" s="290" t="s">
        <v>406</v>
      </c>
    </row>
    <row r="12" spans="2:5">
      <c r="C12" s="290" t="s">
        <v>398</v>
      </c>
    </row>
    <row r="13" spans="2:5">
      <c r="C13" s="290" t="s">
        <v>399</v>
      </c>
    </row>
    <row r="14" spans="2:5">
      <c r="C14" s="290" t="s">
        <v>400</v>
      </c>
    </row>
    <row r="15" spans="2:5">
      <c r="C15" s="290" t="s">
        <v>401</v>
      </c>
    </row>
    <row r="16" spans="2:5">
      <c r="C16" s="290" t="s">
        <v>402</v>
      </c>
    </row>
    <row r="17" spans="2:5">
      <c r="C17" s="290" t="s">
        <v>403</v>
      </c>
    </row>
    <row r="18" spans="2:5">
      <c r="C18" s="290" t="s">
        <v>404</v>
      </c>
    </row>
    <row r="19" spans="2:5">
      <c r="C19" s="290" t="s">
        <v>405</v>
      </c>
    </row>
    <row r="21" spans="2:5">
      <c r="B21" s="164" t="s">
        <v>377</v>
      </c>
      <c r="C21" s="286" t="s">
        <v>335</v>
      </c>
      <c r="D21" s="281"/>
      <c r="E21" s="281"/>
    </row>
    <row r="22" spans="2:5" ht="32.25" customHeight="1">
      <c r="C22" s="466" t="s">
        <v>368</v>
      </c>
      <c r="D22" s="466"/>
      <c r="E22" s="466"/>
    </row>
    <row r="23" spans="2:5">
      <c r="C23" s="281"/>
      <c r="D23" s="281"/>
      <c r="E23" s="281"/>
    </row>
    <row r="24" spans="2:5">
      <c r="B24" s="180" t="s">
        <v>336</v>
      </c>
      <c r="C24" s="287" t="s">
        <v>337</v>
      </c>
      <c r="D24" s="281"/>
      <c r="E24" s="281"/>
    </row>
    <row r="25" spans="2:5">
      <c r="C25" s="288" t="s">
        <v>367</v>
      </c>
      <c r="D25" s="281"/>
      <c r="E25" s="281"/>
    </row>
    <row r="26" spans="2:5">
      <c r="C26" s="281"/>
      <c r="D26" s="281"/>
      <c r="E26" s="281"/>
    </row>
    <row r="27" spans="2:5">
      <c r="B27" s="164" t="s">
        <v>378</v>
      </c>
      <c r="C27" s="280" t="s">
        <v>338</v>
      </c>
      <c r="D27" s="281"/>
      <c r="E27" s="281"/>
    </row>
    <row r="28" spans="2:5">
      <c r="C28" s="284" t="s">
        <v>469</v>
      </c>
      <c r="D28" s="281"/>
      <c r="E28" s="281"/>
    </row>
    <row r="29" spans="2:5">
      <c r="C29" s="281"/>
      <c r="D29" s="281"/>
      <c r="E29" s="281"/>
    </row>
    <row r="30" spans="2:5">
      <c r="B30" s="164" t="s">
        <v>339</v>
      </c>
      <c r="C30" s="289" t="s">
        <v>340</v>
      </c>
      <c r="D30" s="281"/>
      <c r="E30" s="281"/>
    </row>
    <row r="31" spans="2:5">
      <c r="C31" s="284" t="s">
        <v>469</v>
      </c>
      <c r="D31" s="281"/>
      <c r="E31" s="281"/>
    </row>
    <row r="32" spans="2:5">
      <c r="C32" s="281"/>
      <c r="D32" s="281"/>
      <c r="E32" s="281"/>
    </row>
    <row r="33" spans="2:5">
      <c r="B33" s="164" t="s">
        <v>341</v>
      </c>
      <c r="C33" s="280" t="s">
        <v>342</v>
      </c>
      <c r="D33" s="281"/>
      <c r="E33" s="281"/>
    </row>
    <row r="34" spans="2:5">
      <c r="C34" s="288" t="s">
        <v>366</v>
      </c>
      <c r="D34" s="281"/>
      <c r="E34" s="281"/>
    </row>
    <row r="36" spans="2:5">
      <c r="C36" s="238"/>
    </row>
    <row r="37" spans="2:5">
      <c r="C37" s="239"/>
    </row>
    <row r="38" spans="2:5">
      <c r="C38" s="240"/>
    </row>
  </sheetData>
  <mergeCells count="7">
    <mergeCell ref="C22:E22"/>
    <mergeCell ref="C8:E8"/>
    <mergeCell ref="C2:E2"/>
    <mergeCell ref="C3:E3"/>
    <mergeCell ref="C4:E4"/>
    <mergeCell ref="C6:E6"/>
    <mergeCell ref="C7:D7"/>
  </mergeCells>
  <pageMargins left="0.70866141732283472" right="0.70866141732283472" top="1.3385826771653544" bottom="0.74803149606299213" header="0.31496062992125984" footer="0.31496062992125984"/>
  <pageSetup scale="71" orientation="portrait" r:id="rId1"/>
  <colBreaks count="1" manualBreakCount="1">
    <brk id="2" max="3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3:M99"/>
  <sheetViews>
    <sheetView showGridLines="0" tabSelected="1" topLeftCell="A73" zoomScale="102" zoomScaleNormal="102" workbookViewId="0">
      <selection activeCell="D78" sqref="D78:E78"/>
    </sheetView>
  </sheetViews>
  <sheetFormatPr baseColWidth="10" defaultColWidth="10.85546875" defaultRowHeight="15"/>
  <cols>
    <col min="1" max="1" width="3.85546875" customWidth="1"/>
    <col min="2" max="2" width="6.7109375" customWidth="1"/>
    <col min="3" max="3" width="31.28515625" customWidth="1"/>
    <col min="4" max="4" width="51.85546875" bestFit="1" customWidth="1"/>
    <col min="5" max="5" width="10.140625" customWidth="1"/>
    <col min="6" max="7" width="9.7109375" customWidth="1"/>
    <col min="8" max="8" width="10.28515625" customWidth="1"/>
    <col min="9" max="9" width="12.140625" customWidth="1"/>
    <col min="10" max="10" width="11" customWidth="1"/>
    <col min="11" max="11" width="14.5703125" customWidth="1"/>
    <col min="12" max="12" width="12.7109375" customWidth="1"/>
    <col min="13" max="13" width="15.140625" customWidth="1"/>
  </cols>
  <sheetData>
    <row r="3" spans="2:9">
      <c r="B3" s="383" t="s">
        <v>0</v>
      </c>
      <c r="C3" s="384"/>
      <c r="D3" s="384"/>
      <c r="E3" s="384"/>
      <c r="F3" s="384"/>
      <c r="G3" s="384"/>
      <c r="H3" s="384"/>
      <c r="I3" s="384"/>
    </row>
    <row r="4" spans="2:9">
      <c r="B4" s="385" t="s">
        <v>562</v>
      </c>
      <c r="C4" s="385"/>
      <c r="D4" s="385"/>
      <c r="E4" s="385"/>
      <c r="F4" s="385"/>
      <c r="G4" s="385"/>
      <c r="H4" s="385"/>
      <c r="I4" s="385"/>
    </row>
    <row r="5" spans="2:9" ht="6.6" customHeight="1">
      <c r="F5" s="387"/>
      <c r="G5" s="387"/>
    </row>
    <row r="6" spans="2:9">
      <c r="B6" s="269" t="s">
        <v>472</v>
      </c>
      <c r="C6" s="269"/>
      <c r="D6" s="269"/>
      <c r="E6" s="269"/>
      <c r="F6" s="269"/>
      <c r="G6" s="273"/>
      <c r="H6" s="273"/>
      <c r="I6" s="273"/>
    </row>
    <row r="7" spans="2:9" s="87" customFormat="1" ht="6" customHeight="1">
      <c r="B7" s="270"/>
      <c r="C7" s="270"/>
      <c r="D7" s="270"/>
      <c r="E7" s="270"/>
      <c r="F7" s="270"/>
    </row>
    <row r="8" spans="2:9" s="87" customFormat="1">
      <c r="B8" s="271" t="s">
        <v>473</v>
      </c>
      <c r="C8" s="271"/>
      <c r="D8" s="271" t="s">
        <v>481</v>
      </c>
      <c r="E8" s="270"/>
      <c r="F8" s="270"/>
    </row>
    <row r="9" spans="2:9" s="87" customFormat="1">
      <c r="B9" s="271" t="s">
        <v>485</v>
      </c>
      <c r="C9" s="271"/>
      <c r="D9" s="271" t="s">
        <v>486</v>
      </c>
      <c r="E9" s="270"/>
      <c r="F9" s="270"/>
    </row>
    <row r="10" spans="2:9" s="87" customFormat="1">
      <c r="B10" s="271" t="s">
        <v>474</v>
      </c>
      <c r="C10" s="271"/>
      <c r="D10" s="271" t="s">
        <v>487</v>
      </c>
      <c r="E10" s="270"/>
      <c r="F10" s="270"/>
    </row>
    <row r="11" spans="2:9" s="87" customFormat="1">
      <c r="B11" s="271" t="s">
        <v>475</v>
      </c>
      <c r="C11" s="271"/>
      <c r="D11" s="389" t="s">
        <v>488</v>
      </c>
      <c r="E11" s="389"/>
      <c r="F11" s="270"/>
    </row>
    <row r="12" spans="2:9" s="87" customFormat="1">
      <c r="B12" s="271" t="s">
        <v>476</v>
      </c>
      <c r="C12" s="271"/>
      <c r="D12" s="271" t="s">
        <v>484</v>
      </c>
      <c r="E12" s="270"/>
      <c r="F12" s="270"/>
    </row>
    <row r="13" spans="2:9" s="87" customFormat="1">
      <c r="B13" s="271" t="s">
        <v>477</v>
      </c>
      <c r="C13" s="271"/>
      <c r="D13" s="271" t="s">
        <v>482</v>
      </c>
      <c r="E13" s="270"/>
      <c r="F13" s="270"/>
    </row>
    <row r="14" spans="2:9" s="87" customFormat="1">
      <c r="B14" s="271" t="s">
        <v>478</v>
      </c>
      <c r="C14" s="271"/>
      <c r="D14" s="271" t="s">
        <v>483</v>
      </c>
      <c r="E14" s="270"/>
      <c r="F14" s="270"/>
    </row>
    <row r="15" spans="2:9" s="87" customFormat="1">
      <c r="B15" s="271" t="s">
        <v>479</v>
      </c>
      <c r="C15" s="271"/>
      <c r="D15" s="271" t="s">
        <v>525</v>
      </c>
      <c r="E15" s="270"/>
      <c r="F15" s="270"/>
    </row>
    <row r="16" spans="2:9" s="87" customFormat="1">
      <c r="B16" s="271" t="s">
        <v>480</v>
      </c>
      <c r="C16" s="271"/>
      <c r="D16" s="271" t="s">
        <v>484</v>
      </c>
      <c r="E16" s="270"/>
      <c r="F16" s="270"/>
    </row>
    <row r="17" spans="2:9" s="87" customFormat="1" ht="8.4499999999999993" customHeight="1">
      <c r="B17" s="270"/>
      <c r="C17" s="270"/>
      <c r="D17" s="270"/>
      <c r="E17" s="270"/>
      <c r="F17" s="270"/>
    </row>
    <row r="18" spans="2:9" s="87" customFormat="1">
      <c r="B18" s="269" t="s">
        <v>489</v>
      </c>
      <c r="C18" s="269"/>
      <c r="D18" s="269"/>
      <c r="E18" s="269"/>
      <c r="F18" s="269"/>
      <c r="G18" s="273"/>
      <c r="H18" s="273"/>
      <c r="I18" s="273"/>
    </row>
    <row r="19" spans="2:9" s="87" customFormat="1" ht="8.4499999999999993" customHeight="1">
      <c r="B19" s="272"/>
      <c r="C19" s="272"/>
      <c r="D19" s="272"/>
      <c r="E19" s="272"/>
      <c r="F19" s="272"/>
    </row>
    <row r="20" spans="2:9" s="87" customFormat="1" ht="14.45" customHeight="1">
      <c r="B20" s="381" t="s">
        <v>494</v>
      </c>
      <c r="C20" s="381"/>
      <c r="D20" s="381"/>
      <c r="E20" s="381"/>
      <c r="F20" s="381"/>
      <c r="G20" s="381"/>
      <c r="H20" s="381"/>
      <c r="I20" s="381"/>
    </row>
    <row r="21" spans="2:9">
      <c r="B21" s="381"/>
      <c r="C21" s="381"/>
      <c r="D21" s="381"/>
      <c r="E21" s="381"/>
      <c r="F21" s="381"/>
      <c r="G21" s="381"/>
      <c r="H21" s="381"/>
      <c r="I21" s="381"/>
    </row>
    <row r="22" spans="2:9">
      <c r="B22" s="381"/>
      <c r="C22" s="381"/>
      <c r="D22" s="381"/>
      <c r="E22" s="381"/>
      <c r="F22" s="381"/>
      <c r="G22" s="381"/>
      <c r="H22" s="381"/>
      <c r="I22" s="381"/>
    </row>
    <row r="23" spans="2:9" ht="28.9" customHeight="1">
      <c r="B23" s="381"/>
      <c r="C23" s="381"/>
      <c r="D23" s="381"/>
      <c r="E23" s="381"/>
      <c r="F23" s="381"/>
      <c r="G23" s="381"/>
      <c r="H23" s="381"/>
      <c r="I23" s="381"/>
    </row>
    <row r="24" spans="2:9" s="87" customFormat="1" ht="9.6" customHeight="1">
      <c r="B24" s="2"/>
      <c r="C24" s="388"/>
      <c r="D24" s="388"/>
      <c r="E24" s="388"/>
      <c r="F24" s="388"/>
    </row>
    <row r="25" spans="2:9">
      <c r="B25" s="269" t="s">
        <v>490</v>
      </c>
      <c r="C25" s="269"/>
      <c r="D25" s="269"/>
      <c r="E25" s="269"/>
      <c r="F25" s="269"/>
      <c r="G25" s="273"/>
      <c r="H25" s="273"/>
      <c r="I25" s="273"/>
    </row>
    <row r="26" spans="2:9">
      <c r="B26" s="2"/>
      <c r="C26" s="205"/>
    </row>
    <row r="27" spans="2:9">
      <c r="B27" s="376" t="s">
        <v>1</v>
      </c>
      <c r="C27" s="376"/>
      <c r="D27" s="278" t="s">
        <v>2</v>
      </c>
      <c r="E27" s="278"/>
      <c r="F27" s="278"/>
    </row>
    <row r="28" spans="2:9">
      <c r="B28" s="376" t="s">
        <v>491</v>
      </c>
      <c r="C28" s="376"/>
      <c r="D28" s="376"/>
      <c r="E28" s="275"/>
      <c r="F28" s="275"/>
    </row>
    <row r="29" spans="2:9" ht="14.45" customHeight="1">
      <c r="B29" s="377" t="s">
        <v>492</v>
      </c>
      <c r="C29" s="377"/>
      <c r="D29" s="386" t="s">
        <v>553</v>
      </c>
      <c r="E29" s="386"/>
      <c r="F29" s="386"/>
    </row>
    <row r="30" spans="2:9" ht="14.45" customHeight="1">
      <c r="B30" s="377" t="s">
        <v>493</v>
      </c>
      <c r="C30" s="377"/>
      <c r="D30" s="386" t="s">
        <v>552</v>
      </c>
      <c r="E30" s="386"/>
      <c r="F30" s="386"/>
    </row>
    <row r="31" spans="2:9" ht="14.45" customHeight="1">
      <c r="B31" s="378" t="s">
        <v>555</v>
      </c>
      <c r="C31" s="379"/>
      <c r="D31" s="380" t="s">
        <v>554</v>
      </c>
      <c r="E31" s="380"/>
      <c r="F31" s="380"/>
    </row>
    <row r="32" spans="2:9" s="87" customFormat="1" ht="6.6" customHeight="1">
      <c r="B32" s="274"/>
      <c r="C32" s="274"/>
      <c r="D32" s="276"/>
      <c r="E32" s="276"/>
      <c r="F32" s="276"/>
    </row>
    <row r="33" spans="2:9" ht="16.149999999999999" customHeight="1">
      <c r="B33" s="376" t="s">
        <v>443</v>
      </c>
      <c r="C33" s="376"/>
      <c r="D33" s="380" t="s">
        <v>579</v>
      </c>
      <c r="E33" s="380"/>
      <c r="F33" s="276"/>
    </row>
    <row r="34" spans="2:9" s="87" customFormat="1" ht="6.6" customHeight="1">
      <c r="B34" s="274"/>
      <c r="C34" s="274"/>
      <c r="D34" s="276"/>
      <c r="E34" s="276"/>
      <c r="F34" s="276"/>
    </row>
    <row r="35" spans="2:9" ht="14.45" customHeight="1">
      <c r="B35" s="376" t="s">
        <v>495</v>
      </c>
      <c r="C35" s="376"/>
      <c r="D35" s="277"/>
      <c r="E35" s="277"/>
      <c r="F35" s="277"/>
    </row>
    <row r="36" spans="2:9" s="87" customFormat="1" ht="14.45" customHeight="1">
      <c r="B36" s="377" t="s">
        <v>3</v>
      </c>
      <c r="C36" s="377"/>
      <c r="D36" s="386" t="s">
        <v>553</v>
      </c>
      <c r="E36" s="386"/>
      <c r="F36" s="386"/>
    </row>
    <row r="37" spans="2:9" s="87" customFormat="1" ht="14.45" customHeight="1">
      <c r="B37" s="377" t="s">
        <v>4</v>
      </c>
      <c r="C37" s="377"/>
      <c r="D37" s="386" t="s">
        <v>552</v>
      </c>
      <c r="E37" s="386"/>
      <c r="F37" s="386"/>
    </row>
    <row r="38" spans="2:9" s="87" customFormat="1" ht="14.45" customHeight="1">
      <c r="B38" s="378" t="s">
        <v>555</v>
      </c>
      <c r="C38" s="379"/>
      <c r="D38" s="390" t="s">
        <v>554</v>
      </c>
      <c r="E38" s="390"/>
      <c r="F38" s="343"/>
    </row>
    <row r="39" spans="2:9" s="87" customFormat="1" ht="14.45" customHeight="1">
      <c r="B39" s="377" t="s">
        <v>496</v>
      </c>
      <c r="C39" s="377"/>
      <c r="D39" s="390" t="s">
        <v>556</v>
      </c>
      <c r="E39" s="390"/>
      <c r="F39" s="277"/>
    </row>
    <row r="40" spans="2:9" s="87" customFormat="1" ht="14.45" customHeight="1">
      <c r="B40" s="377" t="s">
        <v>497</v>
      </c>
      <c r="C40" s="377"/>
      <c r="D40" s="344" t="s">
        <v>557</v>
      </c>
      <c r="E40" s="277"/>
      <c r="F40" s="277"/>
    </row>
    <row r="41" spans="2:9" s="87" customFormat="1" ht="15.75">
      <c r="B41" s="279"/>
      <c r="C41" s="279"/>
      <c r="D41" s="277"/>
      <c r="E41" s="277"/>
      <c r="F41" s="277"/>
    </row>
    <row r="42" spans="2:9">
      <c r="B42" s="269" t="s">
        <v>498</v>
      </c>
      <c r="C42" s="269"/>
      <c r="D42" s="269"/>
      <c r="E42" s="269"/>
      <c r="F42" s="269"/>
      <c r="G42" s="273"/>
      <c r="H42" s="273"/>
      <c r="I42" s="273"/>
    </row>
    <row r="43" spans="2:9" ht="14.45" customHeight="1">
      <c r="B43" s="382" t="s">
        <v>520</v>
      </c>
      <c r="C43" s="382"/>
      <c r="D43" s="382"/>
      <c r="E43" s="382"/>
      <c r="F43" s="382"/>
      <c r="G43" s="382"/>
      <c r="H43" s="382"/>
      <c r="I43" s="382"/>
    </row>
    <row r="44" spans="2:9">
      <c r="B44" s="382"/>
      <c r="C44" s="382"/>
      <c r="D44" s="382"/>
      <c r="E44" s="382"/>
      <c r="F44" s="382"/>
      <c r="G44" s="382"/>
      <c r="H44" s="382"/>
      <c r="I44" s="382"/>
    </row>
    <row r="45" spans="2:9">
      <c r="B45" s="382"/>
      <c r="C45" s="382"/>
      <c r="D45" s="382"/>
      <c r="E45" s="382"/>
      <c r="F45" s="382"/>
      <c r="G45" s="382"/>
      <c r="H45" s="382"/>
      <c r="I45" s="382"/>
    </row>
    <row r="46" spans="2:9" ht="16.149999999999999" customHeight="1">
      <c r="B46" s="382"/>
      <c r="C46" s="382"/>
      <c r="D46" s="382"/>
      <c r="E46" s="382"/>
      <c r="F46" s="382"/>
      <c r="G46" s="382"/>
      <c r="H46" s="382"/>
      <c r="I46" s="382"/>
    </row>
    <row r="47" spans="2:9">
      <c r="B47" s="373" t="s">
        <v>409</v>
      </c>
      <c r="C47" s="374"/>
      <c r="D47" s="308">
        <v>20000000000</v>
      </c>
    </row>
    <row r="48" spans="2:9">
      <c r="B48" s="306" t="s">
        <v>410</v>
      </c>
      <c r="C48" s="307"/>
      <c r="D48" s="309">
        <v>4000000000</v>
      </c>
    </row>
    <row r="49" spans="2:13">
      <c r="B49" s="306" t="s">
        <v>434</v>
      </c>
      <c r="C49" s="307"/>
      <c r="D49" s="309">
        <v>2274000000</v>
      </c>
    </row>
    <row r="50" spans="2:13">
      <c r="B50" s="306" t="s">
        <v>5</v>
      </c>
      <c r="C50" s="307"/>
      <c r="D50" s="308">
        <v>1726000000</v>
      </c>
    </row>
    <row r="52" spans="2:13">
      <c r="B52" s="310" t="s">
        <v>521</v>
      </c>
      <c r="C52" s="310"/>
      <c r="D52" s="310"/>
      <c r="E52" s="275"/>
      <c r="H52" s="18"/>
    </row>
    <row r="53" spans="2:13" ht="4.9000000000000004" customHeight="1">
      <c r="H53" s="18"/>
    </row>
    <row r="54" spans="2:13" ht="18.600000000000001" customHeight="1">
      <c r="B54" s="314" t="s">
        <v>411</v>
      </c>
      <c r="C54" s="314" t="s">
        <v>412</v>
      </c>
      <c r="D54" s="314" t="s">
        <v>413</v>
      </c>
      <c r="E54" s="314" t="s">
        <v>414</v>
      </c>
      <c r="F54" s="314" t="s">
        <v>415</v>
      </c>
      <c r="G54" s="375" t="s">
        <v>416</v>
      </c>
      <c r="H54" s="375"/>
      <c r="I54" s="315" t="s">
        <v>417</v>
      </c>
      <c r="J54" s="315" t="s">
        <v>524</v>
      </c>
      <c r="K54" s="314" t="s">
        <v>418</v>
      </c>
      <c r="L54" s="315" t="s">
        <v>419</v>
      </c>
      <c r="M54" s="315" t="s">
        <v>420</v>
      </c>
    </row>
    <row r="55" spans="2:13">
      <c r="B55" s="316">
        <v>1</v>
      </c>
      <c r="C55" s="317" t="s">
        <v>421</v>
      </c>
      <c r="D55" s="316" t="s">
        <v>523</v>
      </c>
      <c r="E55" s="316" t="s">
        <v>422</v>
      </c>
      <c r="F55" s="316" t="s">
        <v>423</v>
      </c>
      <c r="G55" s="317">
        <v>1</v>
      </c>
      <c r="H55" s="317">
        <v>925</v>
      </c>
      <c r="I55" s="317">
        <f>900+20+5</f>
        <v>925</v>
      </c>
      <c r="J55" s="317">
        <f>900+20+5</f>
        <v>925</v>
      </c>
      <c r="K55" s="318">
        <f t="shared" ref="K55:K64" si="0">I55*1000000</f>
        <v>925000000</v>
      </c>
      <c r="L55" s="318">
        <v>0</v>
      </c>
      <c r="M55" s="319">
        <v>0.40748898678414097</v>
      </c>
    </row>
    <row r="56" spans="2:13">
      <c r="B56" s="316">
        <v>2</v>
      </c>
      <c r="C56" s="317" t="s">
        <v>424</v>
      </c>
      <c r="D56" s="316" t="s">
        <v>523</v>
      </c>
      <c r="E56" s="316" t="s">
        <v>422</v>
      </c>
      <c r="F56" s="316" t="s">
        <v>423</v>
      </c>
      <c r="G56" s="317">
        <f t="shared" ref="G56:G64" si="1">H55+1</f>
        <v>926</v>
      </c>
      <c r="H56" s="317">
        <f t="shared" ref="H56:H64" si="2">G56+I56-1</f>
        <v>1362</v>
      </c>
      <c r="I56" s="317">
        <v>437</v>
      </c>
      <c r="J56" s="317">
        <v>437</v>
      </c>
      <c r="K56" s="318">
        <f t="shared" si="0"/>
        <v>437000000</v>
      </c>
      <c r="L56" s="318">
        <v>714400</v>
      </c>
      <c r="M56" s="319">
        <v>0.19251101321585903</v>
      </c>
    </row>
    <row r="57" spans="2:13">
      <c r="B57" s="316">
        <v>3</v>
      </c>
      <c r="C57" s="317" t="s">
        <v>425</v>
      </c>
      <c r="D57" s="316" t="s">
        <v>523</v>
      </c>
      <c r="E57" s="316" t="s">
        <v>422</v>
      </c>
      <c r="F57" s="316" t="s">
        <v>423</v>
      </c>
      <c r="G57" s="317">
        <f t="shared" si="1"/>
        <v>1363</v>
      </c>
      <c r="H57" s="317">
        <f t="shared" si="2"/>
        <v>1703</v>
      </c>
      <c r="I57" s="317">
        <v>341</v>
      </c>
      <c r="J57" s="317">
        <v>341</v>
      </c>
      <c r="K57" s="318">
        <f t="shared" si="0"/>
        <v>341000000</v>
      </c>
      <c r="L57" s="318">
        <v>965600</v>
      </c>
      <c r="M57" s="319">
        <v>0.15022026431718061</v>
      </c>
    </row>
    <row r="58" spans="2:13">
      <c r="B58" s="316">
        <v>4</v>
      </c>
      <c r="C58" s="317" t="s">
        <v>426</v>
      </c>
      <c r="D58" s="316" t="s">
        <v>523</v>
      </c>
      <c r="E58" s="316" t="s">
        <v>422</v>
      </c>
      <c r="F58" s="316" t="s">
        <v>423</v>
      </c>
      <c r="G58" s="317">
        <f t="shared" si="1"/>
        <v>1704</v>
      </c>
      <c r="H58" s="317">
        <f t="shared" si="2"/>
        <v>1784</v>
      </c>
      <c r="I58" s="317">
        <v>81</v>
      </c>
      <c r="J58" s="317">
        <v>81</v>
      </c>
      <c r="K58" s="318">
        <f t="shared" si="0"/>
        <v>81000000</v>
      </c>
      <c r="L58" s="318">
        <v>331429</v>
      </c>
      <c r="M58" s="319">
        <v>3.5682819383259914E-2</v>
      </c>
    </row>
    <row r="59" spans="2:13" ht="14.45" customHeight="1">
      <c r="B59" s="316">
        <v>5</v>
      </c>
      <c r="C59" s="317" t="s">
        <v>427</v>
      </c>
      <c r="D59" s="316" t="s">
        <v>523</v>
      </c>
      <c r="E59" s="316" t="s">
        <v>422</v>
      </c>
      <c r="F59" s="316" t="s">
        <v>423</v>
      </c>
      <c r="G59" s="317">
        <f t="shared" si="1"/>
        <v>1785</v>
      </c>
      <c r="H59" s="317">
        <f t="shared" si="2"/>
        <v>1865</v>
      </c>
      <c r="I59" s="317">
        <v>81</v>
      </c>
      <c r="J59" s="317">
        <v>81</v>
      </c>
      <c r="K59" s="318">
        <f t="shared" si="0"/>
        <v>81000000</v>
      </c>
      <c r="L59" s="318">
        <v>331429</v>
      </c>
      <c r="M59" s="319">
        <v>3.5682819383259914E-2</v>
      </c>
    </row>
    <row r="60" spans="2:13">
      <c r="B60" s="316">
        <v>6</v>
      </c>
      <c r="C60" s="317" t="s">
        <v>428</v>
      </c>
      <c r="D60" s="316" t="s">
        <v>523</v>
      </c>
      <c r="E60" s="316" t="s">
        <v>422</v>
      </c>
      <c r="F60" s="316" t="s">
        <v>423</v>
      </c>
      <c r="G60" s="317">
        <f t="shared" si="1"/>
        <v>1866</v>
      </c>
      <c r="H60" s="317">
        <f t="shared" si="2"/>
        <v>1946</v>
      </c>
      <c r="I60" s="317">
        <v>81</v>
      </c>
      <c r="J60" s="317">
        <v>81</v>
      </c>
      <c r="K60" s="318">
        <f t="shared" si="0"/>
        <v>81000000</v>
      </c>
      <c r="L60" s="318">
        <v>331429</v>
      </c>
      <c r="M60" s="319">
        <v>3.5682819383259914E-2</v>
      </c>
    </row>
    <row r="61" spans="2:13">
      <c r="B61" s="316">
        <v>7</v>
      </c>
      <c r="C61" s="317" t="s">
        <v>429</v>
      </c>
      <c r="D61" s="316" t="s">
        <v>523</v>
      </c>
      <c r="E61" s="316" t="s">
        <v>422</v>
      </c>
      <c r="F61" s="316" t="s">
        <v>423</v>
      </c>
      <c r="G61" s="317">
        <f t="shared" si="1"/>
        <v>1947</v>
      </c>
      <c r="H61" s="317">
        <f t="shared" si="2"/>
        <v>2027</v>
      </c>
      <c r="I61" s="317">
        <v>81</v>
      </c>
      <c r="J61" s="317">
        <v>81</v>
      </c>
      <c r="K61" s="318">
        <f t="shared" si="0"/>
        <v>81000000</v>
      </c>
      <c r="L61" s="318">
        <v>331429</v>
      </c>
      <c r="M61" s="319">
        <v>3.5682819383259914E-2</v>
      </c>
    </row>
    <row r="62" spans="2:13">
      <c r="B62" s="316">
        <v>8</v>
      </c>
      <c r="C62" s="317" t="s">
        <v>430</v>
      </c>
      <c r="D62" s="316" t="s">
        <v>523</v>
      </c>
      <c r="E62" s="316" t="s">
        <v>422</v>
      </c>
      <c r="F62" s="316" t="s">
        <v>423</v>
      </c>
      <c r="G62" s="317">
        <f t="shared" si="1"/>
        <v>2028</v>
      </c>
      <c r="H62" s="317">
        <f t="shared" si="2"/>
        <v>2108</v>
      </c>
      <c r="I62" s="317">
        <v>81</v>
      </c>
      <c r="J62" s="317">
        <v>81</v>
      </c>
      <c r="K62" s="318">
        <f t="shared" si="0"/>
        <v>81000000</v>
      </c>
      <c r="L62" s="318">
        <v>331429</v>
      </c>
      <c r="M62" s="319">
        <v>3.5682819383259914E-2</v>
      </c>
    </row>
    <row r="63" spans="2:13">
      <c r="B63" s="316">
        <v>9</v>
      </c>
      <c r="C63" s="317" t="s">
        <v>431</v>
      </c>
      <c r="D63" s="316" t="s">
        <v>523</v>
      </c>
      <c r="E63" s="316" t="s">
        <v>422</v>
      </c>
      <c r="F63" s="316" t="s">
        <v>423</v>
      </c>
      <c r="G63" s="317">
        <f t="shared" si="1"/>
        <v>2109</v>
      </c>
      <c r="H63" s="317">
        <f t="shared" si="2"/>
        <v>2189</v>
      </c>
      <c r="I63" s="317">
        <v>81</v>
      </c>
      <c r="J63" s="317">
        <v>81</v>
      </c>
      <c r="K63" s="318">
        <f t="shared" si="0"/>
        <v>81000000</v>
      </c>
      <c r="L63" s="318">
        <v>331429</v>
      </c>
      <c r="M63" s="319">
        <v>3.5682819383259914E-2</v>
      </c>
    </row>
    <row r="64" spans="2:13">
      <c r="B64" s="316">
        <v>10</v>
      </c>
      <c r="C64" s="317" t="s">
        <v>432</v>
      </c>
      <c r="D64" s="316" t="s">
        <v>523</v>
      </c>
      <c r="E64" s="316" t="s">
        <v>422</v>
      </c>
      <c r="F64" s="316" t="s">
        <v>423</v>
      </c>
      <c r="G64" s="317">
        <f t="shared" si="1"/>
        <v>2190</v>
      </c>
      <c r="H64" s="317">
        <f t="shared" si="2"/>
        <v>2270</v>
      </c>
      <c r="I64" s="317">
        <v>81</v>
      </c>
      <c r="J64" s="317">
        <v>81</v>
      </c>
      <c r="K64" s="318">
        <f t="shared" si="0"/>
        <v>81000000</v>
      </c>
      <c r="L64" s="318">
        <v>331426</v>
      </c>
      <c r="M64" s="319">
        <v>3.5682819383259914E-2</v>
      </c>
    </row>
    <row r="65" spans="2:13">
      <c r="B65" s="311"/>
      <c r="C65" s="312"/>
      <c r="D65" s="312"/>
      <c r="E65" s="312"/>
      <c r="F65" s="312"/>
      <c r="G65" s="312"/>
      <c r="H65" s="313" t="s">
        <v>433</v>
      </c>
      <c r="I65" s="320">
        <f>SUM(I55:I64)</f>
        <v>2270</v>
      </c>
      <c r="J65" s="320">
        <f>SUM(J55:J64)</f>
        <v>2270</v>
      </c>
      <c r="K65" s="321">
        <f>SUM(K55:K64)</f>
        <v>2270000000</v>
      </c>
      <c r="L65" s="321">
        <f>SUM(L56:L64)</f>
        <v>4000000</v>
      </c>
      <c r="M65" s="322">
        <f>SUM(M55:M64)</f>
        <v>0.99999999999999989</v>
      </c>
    </row>
    <row r="67" spans="2:13" ht="6.6" customHeight="1"/>
    <row r="68" spans="2:13">
      <c r="B68" s="269" t="s">
        <v>526</v>
      </c>
      <c r="C68" s="269" t="s">
        <v>527</v>
      </c>
      <c r="D68" s="269"/>
      <c r="E68" s="269"/>
      <c r="F68" s="269"/>
      <c r="G68" s="273"/>
      <c r="H68" s="273"/>
      <c r="I68" s="273"/>
    </row>
    <row r="69" spans="2:13" ht="7.15" customHeight="1"/>
    <row r="70" spans="2:13">
      <c r="B70" s="323" t="s">
        <v>528</v>
      </c>
      <c r="C70" s="275"/>
      <c r="D70" s="275" t="s">
        <v>580</v>
      </c>
      <c r="E70" s="275"/>
      <c r="F70" s="275"/>
      <c r="H70" s="87"/>
    </row>
    <row r="71" spans="2:13" s="87" customFormat="1">
      <c r="B71" s="323" t="s">
        <v>530</v>
      </c>
      <c r="C71" s="275"/>
      <c r="D71" s="275" t="s">
        <v>581</v>
      </c>
      <c r="E71" s="275"/>
      <c r="F71" s="275"/>
    </row>
    <row r="72" spans="2:13">
      <c r="B72" s="323" t="s">
        <v>474</v>
      </c>
      <c r="C72" s="275"/>
      <c r="D72" s="275" t="s">
        <v>582</v>
      </c>
      <c r="E72" s="275"/>
      <c r="F72" s="275"/>
    </row>
    <row r="73" spans="2:13">
      <c r="B73" s="323" t="s">
        <v>529</v>
      </c>
      <c r="C73" s="275"/>
      <c r="D73" s="275" t="s">
        <v>583</v>
      </c>
      <c r="E73" s="275"/>
      <c r="F73" s="275"/>
    </row>
    <row r="74" spans="2:13">
      <c r="B74" s="323" t="s">
        <v>477</v>
      </c>
      <c r="C74" s="275"/>
      <c r="D74" s="275" t="s">
        <v>584</v>
      </c>
      <c r="E74" s="275"/>
      <c r="F74" s="275"/>
    </row>
    <row r="76" spans="2:13">
      <c r="B76" s="269" t="s">
        <v>531</v>
      </c>
      <c r="C76" s="269" t="s">
        <v>532</v>
      </c>
      <c r="D76" s="269"/>
      <c r="E76" s="269"/>
      <c r="F76" s="269"/>
      <c r="G76" s="273"/>
      <c r="H76" s="273"/>
      <c r="I76" s="273"/>
    </row>
    <row r="77" spans="2:13" ht="9" customHeight="1"/>
    <row r="78" spans="2:13">
      <c r="B78" s="393" t="s">
        <v>444</v>
      </c>
      <c r="C78" s="393"/>
      <c r="D78" s="393" t="s">
        <v>445</v>
      </c>
      <c r="E78" s="393"/>
    </row>
    <row r="79" spans="2:13">
      <c r="B79" s="392" t="s">
        <v>534</v>
      </c>
      <c r="C79" s="392"/>
      <c r="D79" s="392" t="s">
        <v>3</v>
      </c>
      <c r="E79" s="392"/>
    </row>
    <row r="80" spans="2:13">
      <c r="B80" s="391" t="s">
        <v>558</v>
      </c>
      <c r="C80" s="390"/>
      <c r="D80" s="392" t="s">
        <v>4</v>
      </c>
      <c r="E80" s="392"/>
    </row>
    <row r="81" spans="1:6">
      <c r="B81" s="391" t="s">
        <v>559</v>
      </c>
      <c r="C81" s="390"/>
      <c r="D81" s="392" t="s">
        <v>533</v>
      </c>
      <c r="E81" s="392"/>
    </row>
    <row r="82" spans="1:6">
      <c r="B82" s="391" t="s">
        <v>535</v>
      </c>
      <c r="C82" s="390"/>
      <c r="D82" s="392" t="s">
        <v>443</v>
      </c>
      <c r="E82" s="392"/>
    </row>
    <row r="83" spans="1:6">
      <c r="B83" s="345" t="s">
        <v>556</v>
      </c>
      <c r="C83" s="324"/>
      <c r="D83" s="324" t="s">
        <v>522</v>
      </c>
      <c r="E83" s="324"/>
    </row>
    <row r="85" spans="1:6">
      <c r="A85" s="27"/>
      <c r="B85" s="27"/>
      <c r="C85" s="27"/>
      <c r="D85" s="27"/>
      <c r="E85" s="27"/>
      <c r="F85" s="27"/>
    </row>
    <row r="86" spans="1:6">
      <c r="A86" s="27"/>
      <c r="B86" s="27"/>
      <c r="C86" s="27"/>
      <c r="D86" s="27"/>
      <c r="E86" s="27"/>
      <c r="F86" s="27"/>
    </row>
    <row r="87" spans="1:6">
      <c r="A87" s="27"/>
      <c r="B87" s="27"/>
      <c r="C87" s="27"/>
      <c r="D87" s="27"/>
      <c r="E87" s="27"/>
      <c r="F87" s="27"/>
    </row>
    <row r="88" spans="1:6">
      <c r="A88" s="27"/>
      <c r="B88" s="27"/>
      <c r="C88" s="27"/>
      <c r="D88" s="27"/>
      <c r="E88" s="27"/>
      <c r="F88" s="27"/>
    </row>
    <row r="89" spans="1:6">
      <c r="A89" s="27"/>
      <c r="B89" s="27"/>
      <c r="C89" s="27"/>
      <c r="D89" s="27"/>
      <c r="E89" s="27"/>
      <c r="F89" s="27"/>
    </row>
    <row r="90" spans="1:6">
      <c r="A90" s="27"/>
      <c r="B90" s="27"/>
      <c r="C90" s="27"/>
      <c r="D90" s="27"/>
      <c r="E90" s="27"/>
      <c r="F90" s="27"/>
    </row>
    <row r="91" spans="1:6">
      <c r="A91" s="27"/>
      <c r="B91" s="27"/>
      <c r="C91" s="27"/>
      <c r="D91" s="27"/>
      <c r="E91" s="27"/>
      <c r="F91" s="27"/>
    </row>
    <row r="92" spans="1:6">
      <c r="A92" s="27"/>
      <c r="B92" s="27"/>
      <c r="C92" s="27"/>
      <c r="D92" s="27"/>
      <c r="E92" s="27"/>
      <c r="F92" s="27"/>
    </row>
    <row r="93" spans="1:6">
      <c r="A93" s="27"/>
      <c r="B93" s="27"/>
      <c r="C93" s="27"/>
      <c r="D93" s="27"/>
      <c r="E93" s="27"/>
      <c r="F93" s="27"/>
    </row>
    <row r="94" spans="1:6">
      <c r="A94" s="27"/>
      <c r="B94" s="27"/>
      <c r="C94" s="27"/>
      <c r="D94" s="27"/>
      <c r="E94" s="27"/>
      <c r="F94" s="27"/>
    </row>
    <row r="95" spans="1:6">
      <c r="A95" s="27"/>
      <c r="B95" s="27"/>
      <c r="C95" s="27"/>
      <c r="D95" s="27"/>
      <c r="E95" s="27"/>
      <c r="F95" s="27"/>
    </row>
    <row r="96" spans="1:6">
      <c r="A96" s="27"/>
      <c r="B96" s="27"/>
      <c r="C96" s="27"/>
      <c r="D96" s="27"/>
      <c r="E96" s="27"/>
      <c r="F96" s="27"/>
    </row>
    <row r="97" spans="1:6">
      <c r="A97" s="27"/>
      <c r="B97" s="27"/>
      <c r="C97" s="27"/>
      <c r="D97" s="27"/>
      <c r="E97" s="27"/>
      <c r="F97" s="27"/>
    </row>
    <row r="98" spans="1:6">
      <c r="A98" s="27"/>
      <c r="B98" s="27"/>
      <c r="C98" s="27"/>
      <c r="D98" s="27"/>
      <c r="E98" s="27"/>
      <c r="F98" s="27"/>
    </row>
    <row r="99" spans="1:6">
      <c r="A99" s="27"/>
      <c r="B99" s="27"/>
      <c r="C99" s="27"/>
      <c r="D99" s="27"/>
      <c r="E99" s="27"/>
      <c r="F99" s="27"/>
    </row>
  </sheetData>
  <mergeCells count="39">
    <mergeCell ref="B81:C81"/>
    <mergeCell ref="D81:E81"/>
    <mergeCell ref="B82:C82"/>
    <mergeCell ref="D82:E82"/>
    <mergeCell ref="B78:C78"/>
    <mergeCell ref="D78:E78"/>
    <mergeCell ref="B79:C79"/>
    <mergeCell ref="D79:E79"/>
    <mergeCell ref="B80:C80"/>
    <mergeCell ref="D80:E80"/>
    <mergeCell ref="B20:I23"/>
    <mergeCell ref="B43:I46"/>
    <mergeCell ref="B3:I3"/>
    <mergeCell ref="B4:I4"/>
    <mergeCell ref="D29:F29"/>
    <mergeCell ref="D30:F30"/>
    <mergeCell ref="D31:F31"/>
    <mergeCell ref="D36:F36"/>
    <mergeCell ref="D37:F37"/>
    <mergeCell ref="F5:G5"/>
    <mergeCell ref="C24:F24"/>
    <mergeCell ref="D11:E11"/>
    <mergeCell ref="D39:E39"/>
    <mergeCell ref="B38:C38"/>
    <mergeCell ref="D38:E38"/>
    <mergeCell ref="B47:C47"/>
    <mergeCell ref="G54:H54"/>
    <mergeCell ref="B27:C27"/>
    <mergeCell ref="B29:C29"/>
    <mergeCell ref="B28:D28"/>
    <mergeCell ref="B35:C35"/>
    <mergeCell ref="B30:C30"/>
    <mergeCell ref="B31:C31"/>
    <mergeCell ref="B33:C33"/>
    <mergeCell ref="D33:E33"/>
    <mergeCell ref="B37:C37"/>
    <mergeCell ref="B39:C39"/>
    <mergeCell ref="B40:C40"/>
    <mergeCell ref="B36:C36"/>
  </mergeCells>
  <hyperlinks>
    <hyperlink ref="D14" r:id="rId1"/>
  </hyperlinks>
  <pageMargins left="0.70866141732283472" right="0.70866141732283472" top="1.7322834645669292" bottom="0.74803149606299213" header="0.31496062992125984" footer="0.31496062992125984"/>
  <pageSetup paperSize="9" scale="43" orientation="portrait" r:id="rId2"/>
  <ignoredErrors>
    <ignoredError sqref="L65" 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4:H88"/>
  <sheetViews>
    <sheetView showGridLines="0" topLeftCell="A22" zoomScale="102" zoomScaleNormal="102" workbookViewId="0">
      <selection activeCell="F28" sqref="F28"/>
    </sheetView>
  </sheetViews>
  <sheetFormatPr baseColWidth="10" defaultColWidth="10.85546875" defaultRowHeight="15"/>
  <cols>
    <col min="2" max="2" width="40.28515625" customWidth="1"/>
    <col min="3" max="3" width="14.85546875" style="50" customWidth="1"/>
    <col min="4" max="4" width="12.28515625" style="50" bestFit="1" customWidth="1"/>
    <col min="5" max="5" width="34.85546875" style="50" customWidth="1"/>
    <col min="6" max="6" width="17.42578125" style="50" bestFit="1" customWidth="1"/>
    <col min="7" max="7" width="13.42578125" style="50" customWidth="1"/>
    <col min="8" max="8" width="15.140625" bestFit="1" customWidth="1"/>
  </cols>
  <sheetData>
    <row r="4" spans="2:7">
      <c r="B4" s="394" t="s">
        <v>562</v>
      </c>
      <c r="C4" s="394"/>
      <c r="D4" s="394"/>
      <c r="E4" s="394"/>
      <c r="F4" s="394"/>
      <c r="G4" s="394"/>
    </row>
    <row r="5" spans="2:7">
      <c r="B5" s="394"/>
      <c r="C5" s="394"/>
      <c r="D5" s="394"/>
      <c r="E5" s="394"/>
      <c r="F5" s="394"/>
      <c r="G5" s="394"/>
    </row>
    <row r="6" spans="2:7">
      <c r="B6" s="394"/>
      <c r="C6" s="394"/>
      <c r="D6" s="394"/>
      <c r="E6" s="394"/>
      <c r="F6" s="394"/>
      <c r="G6" s="394"/>
    </row>
    <row r="7" spans="2:7" ht="15.75" thickBot="1"/>
    <row r="8" spans="2:7" ht="15" customHeight="1">
      <c r="B8" s="395" t="s">
        <v>7</v>
      </c>
      <c r="C8" s="397" t="s">
        <v>77</v>
      </c>
      <c r="D8" s="397" t="s">
        <v>370</v>
      </c>
      <c r="E8" s="416" t="s">
        <v>9</v>
      </c>
      <c r="F8" s="418" t="s">
        <v>8</v>
      </c>
      <c r="G8" s="420" t="s">
        <v>370</v>
      </c>
    </row>
    <row r="9" spans="2:7" ht="15.75" thickBot="1">
      <c r="B9" s="396"/>
      <c r="C9" s="398"/>
      <c r="D9" s="398"/>
      <c r="E9" s="417"/>
      <c r="F9" s="419"/>
      <c r="G9" s="421"/>
    </row>
    <row r="10" spans="2:7">
      <c r="B10" s="17" t="s">
        <v>10</v>
      </c>
      <c r="C10" s="51"/>
      <c r="D10" s="51"/>
      <c r="E10" s="52" t="s">
        <v>18</v>
      </c>
      <c r="F10" s="222"/>
      <c r="G10" s="215"/>
    </row>
    <row r="11" spans="2:7">
      <c r="B11" s="5" t="s">
        <v>72</v>
      </c>
      <c r="C11" s="74">
        <f>+SUM(C12:C14)</f>
        <v>35925255</v>
      </c>
      <c r="D11" s="8">
        <f>+SUM(D12:D14)</f>
        <v>180502038</v>
      </c>
      <c r="E11" s="53" t="s">
        <v>19</v>
      </c>
      <c r="F11" s="223">
        <f>+SUM(F12:F16)</f>
        <v>112139456</v>
      </c>
      <c r="G11" s="216">
        <f>+SUM(G12:G16)</f>
        <v>7628849</v>
      </c>
    </row>
    <row r="12" spans="2:7">
      <c r="B12" s="6" t="s">
        <v>11</v>
      </c>
      <c r="C12" s="20">
        <f>+'Anexo 5d-5h'!C8+'Anexo 5d-5h'!C12</f>
        <v>18126170</v>
      </c>
      <c r="D12" s="20">
        <v>11160718</v>
      </c>
      <c r="E12" s="54" t="s">
        <v>353</v>
      </c>
      <c r="F12" s="224">
        <f>+'Anexo 5i-5m'!C69</f>
        <v>60925348</v>
      </c>
      <c r="G12" s="224">
        <f>+'Anexo 5i-5m'!D69</f>
        <v>0</v>
      </c>
    </row>
    <row r="13" spans="2:7">
      <c r="B13" s="6" t="s">
        <v>12</v>
      </c>
      <c r="C13" s="20">
        <f>+'Anexo 5d-5h'!C9+'Anexo 5d-5h'!C10+'Anexo 5d-5h'!C11</f>
        <v>17799085</v>
      </c>
      <c r="D13" s="20">
        <v>169341320</v>
      </c>
      <c r="E13" s="54" t="s">
        <v>348</v>
      </c>
      <c r="F13" s="224">
        <f>+'Anexo 5i-5m'!C64</f>
        <v>51214108</v>
      </c>
      <c r="G13" s="224">
        <f>+'Anexo 5i-5m'!D64</f>
        <v>7628849</v>
      </c>
    </row>
    <row r="14" spans="2:7" ht="15" customHeight="1">
      <c r="B14" s="6" t="s">
        <v>13</v>
      </c>
      <c r="C14" s="55"/>
      <c r="D14" s="55"/>
      <c r="E14" s="54"/>
      <c r="F14" s="225"/>
      <c r="G14" s="218"/>
    </row>
    <row r="15" spans="2:7">
      <c r="B15" s="5" t="s">
        <v>14</v>
      </c>
      <c r="C15" s="56">
        <f>SUM(C16:C18)</f>
        <v>0</v>
      </c>
      <c r="D15" s="56">
        <f>SUM(D16:D18)</f>
        <v>0</v>
      </c>
      <c r="E15" s="54" t="s">
        <v>21</v>
      </c>
      <c r="F15" s="225"/>
      <c r="G15" s="218"/>
    </row>
    <row r="16" spans="2:7" ht="25.15" customHeight="1">
      <c r="B16" s="6" t="s">
        <v>15</v>
      </c>
      <c r="C16" s="56"/>
      <c r="D16" s="56"/>
      <c r="E16" s="54" t="s">
        <v>350</v>
      </c>
      <c r="F16" s="226">
        <v>0</v>
      </c>
      <c r="G16" s="219"/>
    </row>
    <row r="17" spans="2:7">
      <c r="B17" s="6" t="s">
        <v>16</v>
      </c>
      <c r="C17" s="56"/>
      <c r="D17" s="56"/>
      <c r="E17" s="53"/>
      <c r="F17" s="227"/>
      <c r="G17" s="219"/>
    </row>
    <row r="18" spans="2:7">
      <c r="B18" s="6"/>
      <c r="C18" s="56"/>
      <c r="D18" s="56"/>
      <c r="E18" s="53" t="s">
        <v>22</v>
      </c>
      <c r="F18" s="223">
        <f>+SUM(F19:F21)</f>
        <v>0</v>
      </c>
      <c r="G18" s="216">
        <f>+SUM(G19:G21)</f>
        <v>0</v>
      </c>
    </row>
    <row r="19" spans="2:7">
      <c r="B19" s="6"/>
      <c r="C19" s="56"/>
      <c r="D19" s="56"/>
      <c r="E19" s="54" t="s">
        <v>458</v>
      </c>
      <c r="F19" s="224">
        <v>0</v>
      </c>
      <c r="G19" s="217">
        <v>0</v>
      </c>
    </row>
    <row r="20" spans="2:7">
      <c r="B20" s="5" t="s">
        <v>17</v>
      </c>
      <c r="C20" s="74">
        <f>+SUM(C21:C22)</f>
        <v>3007907844</v>
      </c>
      <c r="D20" s="8">
        <f>+SUM(D21:D22)</f>
        <v>1723486077</v>
      </c>
      <c r="E20" s="54" t="s">
        <v>24</v>
      </c>
      <c r="F20" s="224">
        <v>0</v>
      </c>
      <c r="G20" s="217">
        <v>0</v>
      </c>
    </row>
    <row r="21" spans="2:7">
      <c r="B21" s="6" t="s">
        <v>15</v>
      </c>
      <c r="C21" s="20">
        <v>400000000</v>
      </c>
      <c r="D21" s="20">
        <v>0</v>
      </c>
      <c r="E21" s="54"/>
      <c r="F21" s="225"/>
      <c r="G21" s="218"/>
    </row>
    <row r="22" spans="2:7">
      <c r="B22" s="6" t="s">
        <v>16</v>
      </c>
      <c r="C22" s="20">
        <v>2607907844</v>
      </c>
      <c r="D22" s="20">
        <v>1723486077</v>
      </c>
      <c r="E22" s="57"/>
      <c r="F22" s="225"/>
      <c r="G22" s="218"/>
    </row>
    <row r="23" spans="2:7">
      <c r="B23" s="7"/>
      <c r="C23" s="58"/>
      <c r="D23" s="58"/>
      <c r="E23" s="57"/>
      <c r="F23" s="225"/>
      <c r="G23" s="218"/>
    </row>
    <row r="24" spans="2:7">
      <c r="B24" s="5" t="s">
        <v>25</v>
      </c>
      <c r="C24" s="74">
        <f>+SUM(C25:C31)</f>
        <v>52409635</v>
      </c>
      <c r="D24" s="8">
        <f>+SUM(D25:D31)</f>
        <v>10450000</v>
      </c>
      <c r="E24" s="53" t="s">
        <v>31</v>
      </c>
      <c r="F24" s="223">
        <f>+SUM(F25:F32)</f>
        <v>36190737</v>
      </c>
      <c r="G24" s="216">
        <f>+SUM(G25:G32)</f>
        <v>5803800</v>
      </c>
    </row>
    <row r="25" spans="2:7">
      <c r="B25" s="6" t="s">
        <v>26</v>
      </c>
      <c r="C25" s="20">
        <v>0</v>
      </c>
      <c r="D25" s="55">
        <v>0</v>
      </c>
      <c r="E25" s="54" t="s">
        <v>32</v>
      </c>
      <c r="F25" s="224">
        <v>0</v>
      </c>
      <c r="G25" s="217">
        <v>0</v>
      </c>
    </row>
    <row r="26" spans="2:7">
      <c r="B26" s="6" t="s">
        <v>27</v>
      </c>
      <c r="C26" s="20">
        <f>+'Anexo 5d-5h'!C41</f>
        <v>17824635</v>
      </c>
      <c r="D26" s="20">
        <v>0</v>
      </c>
      <c r="E26" s="54" t="s">
        <v>33</v>
      </c>
      <c r="F26" s="224">
        <v>14387675</v>
      </c>
      <c r="G26" s="217">
        <v>5803800</v>
      </c>
    </row>
    <row r="27" spans="2:7">
      <c r="B27" s="6" t="s">
        <v>28</v>
      </c>
      <c r="C27" s="20">
        <f>+'Anexo 5d-5h'!C48</f>
        <v>34585000</v>
      </c>
      <c r="D27" s="20">
        <f>+'Anexo 5d-5h'!D48</f>
        <v>10450000</v>
      </c>
      <c r="E27" s="54" t="s">
        <v>34</v>
      </c>
      <c r="F27" s="224">
        <v>0</v>
      </c>
      <c r="G27" s="217">
        <v>0</v>
      </c>
    </row>
    <row r="28" spans="2:7">
      <c r="B28" s="6" t="s">
        <v>73</v>
      </c>
      <c r="C28" s="58"/>
      <c r="D28" s="58"/>
      <c r="E28" s="54" t="s">
        <v>548</v>
      </c>
      <c r="F28" s="224">
        <v>8312820</v>
      </c>
      <c r="G28" s="214">
        <v>0</v>
      </c>
    </row>
    <row r="29" spans="2:7" ht="24">
      <c r="B29" s="6" t="s">
        <v>29</v>
      </c>
      <c r="C29" s="58"/>
      <c r="D29" s="58"/>
      <c r="F29" s="228"/>
      <c r="G29" s="214"/>
    </row>
    <row r="30" spans="2:7" ht="24">
      <c r="B30" s="6" t="s">
        <v>30</v>
      </c>
      <c r="C30" s="58"/>
      <c r="D30" s="58"/>
      <c r="E30" s="54" t="s">
        <v>35</v>
      </c>
      <c r="F30" s="225"/>
      <c r="G30" s="218"/>
    </row>
    <row r="31" spans="2:7">
      <c r="B31" s="6"/>
      <c r="C31" s="58"/>
      <c r="D31" s="58"/>
      <c r="E31" s="54" t="s">
        <v>36</v>
      </c>
      <c r="F31" s="224">
        <v>13490242</v>
      </c>
      <c r="G31" s="217">
        <v>0</v>
      </c>
    </row>
    <row r="32" spans="2:7">
      <c r="B32" s="5"/>
      <c r="C32" s="58"/>
      <c r="D32" s="58"/>
      <c r="E32" s="54" t="s">
        <v>37</v>
      </c>
      <c r="F32" s="225">
        <v>0</v>
      </c>
      <c r="G32" s="218">
        <v>0</v>
      </c>
    </row>
    <row r="33" spans="2:7">
      <c r="B33" s="5" t="s">
        <v>38</v>
      </c>
      <c r="C33" s="74">
        <f>+C34</f>
        <v>175832765</v>
      </c>
      <c r="D33" s="8">
        <f>+D34</f>
        <v>66494309</v>
      </c>
      <c r="E33" s="53" t="s">
        <v>40</v>
      </c>
      <c r="F33" s="223">
        <f>+SUM(F34:F36)</f>
        <v>1495750357</v>
      </c>
      <c r="G33" s="216">
        <f>+SUM(G34:G36)</f>
        <v>202181831</v>
      </c>
    </row>
    <row r="34" spans="2:7">
      <c r="B34" s="6" t="s">
        <v>39</v>
      </c>
      <c r="C34" s="20">
        <f>+'Anexo 5i-5m'!C24</f>
        <v>175832765</v>
      </c>
      <c r="D34" s="20">
        <f>+'Anexo 5i-5m'!D24</f>
        <v>66494309</v>
      </c>
      <c r="E34" s="54" t="s">
        <v>41</v>
      </c>
      <c r="F34" s="224">
        <v>0</v>
      </c>
      <c r="G34" s="217">
        <v>0</v>
      </c>
    </row>
    <row r="35" spans="2:7">
      <c r="B35" s="6"/>
      <c r="C35" s="55"/>
      <c r="D35" s="55"/>
      <c r="E35" s="54" t="s">
        <v>42</v>
      </c>
      <c r="F35" s="224">
        <f>+'Anexo 5n-5r'!C20</f>
        <v>1495750357</v>
      </c>
      <c r="G35" s="224">
        <f>+'Anexo 5n-5r'!D20</f>
        <v>202181831</v>
      </c>
    </row>
    <row r="36" spans="2:7">
      <c r="B36" s="5"/>
      <c r="C36" s="58"/>
      <c r="D36" s="58"/>
      <c r="E36" s="54"/>
      <c r="F36" s="224"/>
      <c r="G36" s="218"/>
    </row>
    <row r="37" spans="2:7">
      <c r="B37" s="5" t="s">
        <v>43</v>
      </c>
      <c r="C37" s="8">
        <f>+C11+C15+C20+C24+C33</f>
        <v>3272075499</v>
      </c>
      <c r="D37" s="8">
        <f>+D11+D15+D20+D24+D33</f>
        <v>1980932424</v>
      </c>
      <c r="E37" s="53" t="s">
        <v>44</v>
      </c>
      <c r="F37" s="223">
        <f>+F11+F18+F24+F33</f>
        <v>1644080550</v>
      </c>
      <c r="G37" s="216">
        <f>+G11+G18+G24+G33</f>
        <v>215614480</v>
      </c>
    </row>
    <row r="38" spans="2:7" ht="15.75" thickBot="1">
      <c r="B38" s="6"/>
      <c r="C38" s="241"/>
      <c r="D38" s="56"/>
      <c r="E38" s="54"/>
      <c r="F38" s="225"/>
      <c r="G38" s="218"/>
    </row>
    <row r="39" spans="2:7">
      <c r="B39" s="5" t="s">
        <v>45</v>
      </c>
      <c r="C39" s="20"/>
      <c r="D39" s="55"/>
      <c r="E39" s="52" t="s">
        <v>384</v>
      </c>
      <c r="F39" s="225"/>
      <c r="G39" s="218"/>
    </row>
    <row r="40" spans="2:7">
      <c r="B40" s="5" t="s">
        <v>46</v>
      </c>
      <c r="C40" s="8">
        <f>+SUM(C41:C44)</f>
        <v>900678971</v>
      </c>
      <c r="D40" s="8">
        <f>+SUM(D41:D44)</f>
        <v>1269944869</v>
      </c>
      <c r="E40" s="53" t="s">
        <v>22</v>
      </c>
      <c r="F40" s="223">
        <v>0</v>
      </c>
      <c r="G40" s="217"/>
    </row>
    <row r="41" spans="2:7">
      <c r="B41" s="210" t="s">
        <v>438</v>
      </c>
      <c r="C41" s="20">
        <v>675894</v>
      </c>
      <c r="D41" s="20">
        <v>346443263</v>
      </c>
      <c r="E41" s="54" t="s">
        <v>23</v>
      </c>
      <c r="F41" s="224">
        <v>0</v>
      </c>
      <c r="G41" s="218"/>
    </row>
    <row r="42" spans="2:7">
      <c r="B42" s="210" t="s">
        <v>439</v>
      </c>
      <c r="C42" s="20">
        <v>3077</v>
      </c>
      <c r="D42" s="20">
        <v>23501606</v>
      </c>
      <c r="E42" s="54"/>
      <c r="F42" s="224"/>
      <c r="G42" s="217"/>
    </row>
    <row r="43" spans="2:7">
      <c r="B43" s="6" t="s">
        <v>47</v>
      </c>
      <c r="C43" s="20">
        <v>900000000</v>
      </c>
      <c r="D43" s="20">
        <v>900000000</v>
      </c>
      <c r="E43" s="54"/>
      <c r="F43" s="224"/>
      <c r="G43" s="217"/>
    </row>
    <row r="44" spans="2:7" ht="18.75" hidden="1" customHeight="1">
      <c r="B44" s="6" t="s">
        <v>48</v>
      </c>
      <c r="C44" s="20">
        <v>0</v>
      </c>
      <c r="D44" s="20">
        <v>0</v>
      </c>
      <c r="E44" s="54"/>
      <c r="F44" s="229"/>
      <c r="G44" s="220"/>
    </row>
    <row r="45" spans="2:7" hidden="1">
      <c r="B45" s="5"/>
      <c r="C45" s="242"/>
      <c r="D45" s="58"/>
      <c r="E45" s="54" t="s">
        <v>20</v>
      </c>
      <c r="F45" s="229"/>
      <c r="G45" s="220"/>
    </row>
    <row r="46" spans="2:7" hidden="1">
      <c r="B46" s="5" t="s">
        <v>49</v>
      </c>
      <c r="C46" s="242">
        <f>+SUM(C47:C53)</f>
        <v>0</v>
      </c>
      <c r="D46" s="58"/>
      <c r="E46" s="54" t="s">
        <v>52</v>
      </c>
      <c r="F46" s="229"/>
      <c r="G46" s="220"/>
    </row>
    <row r="47" spans="2:7" hidden="1">
      <c r="B47" s="6" t="s">
        <v>26</v>
      </c>
      <c r="C47" s="242"/>
      <c r="D47" s="58"/>
      <c r="E47" s="54"/>
      <c r="F47" s="229"/>
      <c r="G47" s="220"/>
    </row>
    <row r="48" spans="2:7" hidden="1">
      <c r="B48" s="6" t="s">
        <v>28</v>
      </c>
      <c r="C48" s="242"/>
      <c r="D48" s="58"/>
      <c r="E48" s="53" t="s">
        <v>53</v>
      </c>
      <c r="F48" s="229">
        <f>+SUM(F49:F50)</f>
        <v>0</v>
      </c>
      <c r="G48" s="220">
        <f>+SUM(G49:G50)</f>
        <v>0</v>
      </c>
    </row>
    <row r="49" spans="2:8" hidden="1">
      <c r="B49" s="6" t="s">
        <v>50</v>
      </c>
      <c r="C49" s="242"/>
      <c r="D49" s="58"/>
      <c r="E49" s="54" t="s">
        <v>54</v>
      </c>
      <c r="F49" s="229"/>
      <c r="G49" s="220"/>
    </row>
    <row r="50" spans="2:8" hidden="1">
      <c r="B50" s="6" t="s">
        <v>74</v>
      </c>
      <c r="C50" s="242"/>
      <c r="D50" s="58"/>
      <c r="E50" s="54" t="s">
        <v>354</v>
      </c>
      <c r="F50" s="229"/>
      <c r="G50" s="220"/>
    </row>
    <row r="51" spans="2:8" ht="24" hidden="1">
      <c r="B51" s="6" t="s">
        <v>29</v>
      </c>
      <c r="C51" s="242"/>
      <c r="D51" s="58"/>
      <c r="E51" s="54"/>
      <c r="F51" s="229"/>
      <c r="G51" s="220"/>
    </row>
    <row r="52" spans="2:8" ht="24" hidden="1">
      <c r="B52" s="6" t="s">
        <v>30</v>
      </c>
      <c r="C52" s="242"/>
      <c r="D52" s="58"/>
      <c r="E52" s="53" t="s">
        <v>55</v>
      </c>
      <c r="F52" s="229">
        <f>+SUM(F53:F55)</f>
        <v>0</v>
      </c>
      <c r="G52" s="220">
        <f>+SUM(G53:G55)</f>
        <v>0</v>
      </c>
    </row>
    <row r="53" spans="2:8" ht="24" hidden="1">
      <c r="B53" s="6" t="s">
        <v>51</v>
      </c>
      <c r="C53" s="242"/>
      <c r="D53" s="58"/>
      <c r="E53" s="54" t="s">
        <v>56</v>
      </c>
      <c r="F53" s="229"/>
      <c r="G53" s="220"/>
    </row>
    <row r="54" spans="2:8" hidden="1">
      <c r="B54" s="7"/>
      <c r="C54" s="242"/>
      <c r="D54" s="58"/>
      <c r="E54" s="54" t="s">
        <v>57</v>
      </c>
      <c r="F54" s="230">
        <v>0</v>
      </c>
      <c r="G54" s="220"/>
    </row>
    <row r="55" spans="2:8" hidden="1">
      <c r="B55" s="7"/>
      <c r="C55" s="242"/>
      <c r="D55" s="58"/>
      <c r="E55" s="54" t="s">
        <v>355</v>
      </c>
      <c r="F55" s="229"/>
      <c r="G55" s="220"/>
    </row>
    <row r="56" spans="2:8" hidden="1">
      <c r="B56" s="7"/>
      <c r="C56" s="242"/>
      <c r="D56" s="58"/>
      <c r="E56" s="53" t="s">
        <v>58</v>
      </c>
      <c r="F56" s="223">
        <f>+F40+F48+F52</f>
        <v>0</v>
      </c>
      <c r="G56" s="216">
        <f>+G40+G48+G52</f>
        <v>0</v>
      </c>
    </row>
    <row r="57" spans="2:8">
      <c r="B57" s="7"/>
      <c r="C57" s="242"/>
      <c r="D57" s="58"/>
      <c r="E57" s="53"/>
      <c r="F57" s="224"/>
      <c r="G57" s="217"/>
    </row>
    <row r="58" spans="2:8">
      <c r="B58" s="5" t="s">
        <v>59</v>
      </c>
      <c r="C58" s="8">
        <f>+'Anexo 5d-5h'!M61</f>
        <v>107151432</v>
      </c>
      <c r="D58" s="8">
        <f>+'Anexo 5d-5h'!M62</f>
        <v>49194705</v>
      </c>
      <c r="E58" s="53"/>
      <c r="F58" s="225"/>
      <c r="G58" s="218"/>
    </row>
    <row r="59" spans="2:8">
      <c r="B59" s="6" t="s">
        <v>60</v>
      </c>
      <c r="C59" s="20">
        <v>0</v>
      </c>
      <c r="D59" s="20">
        <v>0</v>
      </c>
      <c r="E59" s="53" t="s">
        <v>61</v>
      </c>
      <c r="F59" s="223">
        <f>+F37+F56</f>
        <v>1644080550</v>
      </c>
      <c r="G59" s="216">
        <f>+G37+G56</f>
        <v>215614480</v>
      </c>
    </row>
    <row r="60" spans="2:8">
      <c r="B60" s="6"/>
      <c r="C60" s="242"/>
      <c r="D60" s="58"/>
      <c r="E60" s="53"/>
      <c r="F60" s="227"/>
      <c r="G60" s="219"/>
    </row>
    <row r="61" spans="2:8">
      <c r="B61" s="6"/>
      <c r="C61" s="242"/>
      <c r="D61" s="58"/>
      <c r="E61" s="53" t="s">
        <v>62</v>
      </c>
      <c r="F61" s="223"/>
      <c r="G61" s="216"/>
    </row>
    <row r="62" spans="2:8" s="87" customFormat="1">
      <c r="B62" s="6"/>
      <c r="C62" s="242"/>
      <c r="D62" s="58"/>
      <c r="E62" s="53" t="s">
        <v>69</v>
      </c>
      <c r="F62" s="216">
        <v>3109770806</v>
      </c>
      <c r="G62" s="216">
        <v>2274000000</v>
      </c>
      <c r="H62" s="19"/>
    </row>
    <row r="63" spans="2:8">
      <c r="B63" s="5" t="s">
        <v>63</v>
      </c>
      <c r="C63" s="20">
        <f>+SUM(C66:C71)</f>
        <v>511066648</v>
      </c>
      <c r="D63" s="20">
        <f>+SUM(D66:D71)</f>
        <v>511066648</v>
      </c>
      <c r="E63" s="213"/>
      <c r="F63" s="224"/>
      <c r="G63" s="217"/>
    </row>
    <row r="64" spans="2:8" s="87" customFormat="1">
      <c r="B64" s="5"/>
      <c r="C64" s="20"/>
      <c r="D64" s="55"/>
      <c r="E64" s="54" t="s">
        <v>442</v>
      </c>
      <c r="F64" s="217">
        <v>610380405</v>
      </c>
      <c r="G64" s="217">
        <v>1446151211</v>
      </c>
    </row>
    <row r="65" spans="2:8" s="87" customFormat="1">
      <c r="B65" s="6"/>
      <c r="C65" s="20"/>
      <c r="D65" s="20"/>
      <c r="E65" s="53" t="s">
        <v>436</v>
      </c>
      <c r="F65" s="224">
        <f>+F66+F67+F68</f>
        <v>0</v>
      </c>
      <c r="G65" s="217">
        <v>0</v>
      </c>
    </row>
    <row r="66" spans="2:8">
      <c r="B66" s="5" t="s">
        <v>468</v>
      </c>
      <c r="C66" s="20"/>
      <c r="D66" s="55"/>
      <c r="E66" s="54" t="s">
        <v>165</v>
      </c>
      <c r="F66" s="224">
        <v>0</v>
      </c>
      <c r="G66" s="217">
        <v>0</v>
      </c>
    </row>
    <row r="67" spans="2:8">
      <c r="B67" s="6" t="s">
        <v>389</v>
      </c>
      <c r="C67" s="20">
        <f>+'Anexo 5d-5h'!C71</f>
        <v>511066648</v>
      </c>
      <c r="D67" s="20">
        <f>+'Anexo 5d-5h'!D71</f>
        <v>511066648</v>
      </c>
      <c r="E67" s="54" t="s">
        <v>70</v>
      </c>
      <c r="F67" s="224">
        <v>0</v>
      </c>
      <c r="G67" s="217">
        <v>0</v>
      </c>
    </row>
    <row r="68" spans="2:8">
      <c r="B68" s="6" t="s">
        <v>65</v>
      </c>
      <c r="C68" s="20">
        <v>0</v>
      </c>
      <c r="D68" s="20">
        <v>0</v>
      </c>
      <c r="E68" s="54" t="s">
        <v>375</v>
      </c>
      <c r="F68" s="224">
        <v>0</v>
      </c>
      <c r="G68" s="217">
        <v>0</v>
      </c>
    </row>
    <row r="69" spans="2:8">
      <c r="B69" s="6"/>
      <c r="C69" s="20"/>
      <c r="D69" s="55"/>
      <c r="E69" s="54" t="s">
        <v>283</v>
      </c>
      <c r="F69" s="224">
        <v>-124627045</v>
      </c>
      <c r="G69" s="217">
        <v>-226366</v>
      </c>
      <c r="H69" s="19"/>
    </row>
    <row r="70" spans="2:8">
      <c r="B70" s="6"/>
      <c r="C70" s="20"/>
      <c r="D70" s="20"/>
      <c r="E70" s="54" t="s">
        <v>376</v>
      </c>
      <c r="F70" s="224">
        <v>-448632166</v>
      </c>
      <c r="G70" s="217">
        <v>-124400679</v>
      </c>
      <c r="H70" s="19"/>
    </row>
    <row r="71" spans="2:8">
      <c r="B71" s="6"/>
      <c r="C71" s="20"/>
      <c r="D71" s="20"/>
      <c r="E71" s="54"/>
      <c r="F71" s="229"/>
      <c r="G71" s="220"/>
    </row>
    <row r="72" spans="2:8">
      <c r="B72" s="5"/>
      <c r="C72" s="20"/>
      <c r="D72" s="55"/>
      <c r="E72" s="54"/>
      <c r="F72" s="224"/>
      <c r="G72" s="217"/>
      <c r="H72" s="19"/>
    </row>
    <row r="73" spans="2:8">
      <c r="B73" s="5" t="s">
        <v>66</v>
      </c>
      <c r="C73" s="20">
        <f>+C74</f>
        <v>0</v>
      </c>
      <c r="D73" s="55">
        <f>+D74</f>
        <v>0</v>
      </c>
      <c r="E73" s="54"/>
      <c r="F73" s="224"/>
      <c r="G73" s="217"/>
      <c r="H73" s="39"/>
    </row>
    <row r="74" spans="2:8">
      <c r="B74" s="6" t="s">
        <v>67</v>
      </c>
      <c r="C74" s="20"/>
      <c r="D74" s="55"/>
      <c r="E74" s="54"/>
      <c r="F74" s="229"/>
      <c r="G74" s="220"/>
      <c r="H74" s="40"/>
    </row>
    <row r="75" spans="2:8">
      <c r="B75" s="6"/>
      <c r="C75" s="20"/>
      <c r="D75" s="55"/>
      <c r="E75" s="57"/>
      <c r="F75" s="229"/>
      <c r="G75" s="220"/>
      <c r="H75" s="40"/>
    </row>
    <row r="76" spans="2:8" ht="15.75" thickBot="1">
      <c r="B76" s="5" t="s">
        <v>68</v>
      </c>
      <c r="C76" s="8">
        <f>+C40+C46+C58+C59+C63+C73</f>
        <v>1518897051</v>
      </c>
      <c r="D76" s="8">
        <f>+D40+D46+D58+D59+D63+D73</f>
        <v>1830206222</v>
      </c>
      <c r="E76" s="59" t="s">
        <v>343</v>
      </c>
      <c r="F76" s="231">
        <f>SUM(F62:F70)</f>
        <v>3146892000</v>
      </c>
      <c r="G76" s="221">
        <f>SUM(G62:G70)</f>
        <v>3595524166</v>
      </c>
      <c r="H76" s="40"/>
    </row>
    <row r="77" spans="2:8">
      <c r="B77" s="405" t="s">
        <v>75</v>
      </c>
      <c r="C77" s="407">
        <f>+C37+C76</f>
        <v>4790972550</v>
      </c>
      <c r="D77" s="407">
        <f>+D37+D76</f>
        <v>3811138646</v>
      </c>
      <c r="E77" s="409" t="s">
        <v>71</v>
      </c>
      <c r="F77" s="407">
        <f>+F59+F76</f>
        <v>4790972550</v>
      </c>
      <c r="G77" s="411">
        <f>+G59+G76</f>
        <v>3811138646</v>
      </c>
      <c r="H77" s="19"/>
    </row>
    <row r="78" spans="2:8" ht="15.75" thickBot="1">
      <c r="B78" s="406"/>
      <c r="C78" s="408"/>
      <c r="D78" s="408"/>
      <c r="E78" s="410"/>
      <c r="F78" s="408"/>
      <c r="G78" s="412"/>
      <c r="H78" s="19"/>
    </row>
    <row r="79" spans="2:8">
      <c r="F79" s="60"/>
    </row>
    <row r="80" spans="2:8" ht="15.75" thickBot="1">
      <c r="H80" s="19"/>
    </row>
    <row r="81" spans="2:8" ht="15" customHeight="1">
      <c r="B81" s="413"/>
      <c r="C81" s="401" t="s">
        <v>8</v>
      </c>
      <c r="D81" s="401" t="s">
        <v>76</v>
      </c>
      <c r="E81" s="399"/>
      <c r="F81" s="401" t="s">
        <v>8</v>
      </c>
      <c r="G81" s="403" t="s">
        <v>76</v>
      </c>
    </row>
    <row r="82" spans="2:8">
      <c r="B82" s="414"/>
      <c r="C82" s="402"/>
      <c r="D82" s="402"/>
      <c r="E82" s="400"/>
      <c r="F82" s="402"/>
      <c r="G82" s="404"/>
    </row>
    <row r="83" spans="2:8">
      <c r="B83" s="61" t="s">
        <v>356</v>
      </c>
      <c r="C83" s="243">
        <f>SUM(C84:C85)</f>
        <v>737450205</v>
      </c>
      <c r="D83" s="243">
        <f>SUM(D84:D85)</f>
        <v>69476989</v>
      </c>
      <c r="E83" s="62" t="s">
        <v>357</v>
      </c>
      <c r="F83" s="243">
        <f>SUM(F84:F85)</f>
        <v>737450205</v>
      </c>
      <c r="G83" s="243">
        <f>SUM(G84:G85)</f>
        <v>69476989</v>
      </c>
    </row>
    <row r="84" spans="2:8">
      <c r="B84" s="63" t="s">
        <v>447</v>
      </c>
      <c r="C84" s="244">
        <v>1831682</v>
      </c>
      <c r="D84" s="340">
        <v>68300940</v>
      </c>
      <c r="E84" s="65" t="s">
        <v>449</v>
      </c>
      <c r="F84" s="64">
        <v>737450205</v>
      </c>
      <c r="G84" s="64">
        <v>69476989</v>
      </c>
    </row>
    <row r="85" spans="2:8" ht="15.75" thickBot="1">
      <c r="B85" s="66" t="s">
        <v>448</v>
      </c>
      <c r="C85" s="245">
        <v>735618523</v>
      </c>
      <c r="D85" s="341">
        <v>1176049</v>
      </c>
      <c r="E85" s="68"/>
      <c r="F85" s="67"/>
      <c r="G85" s="69"/>
    </row>
    <row r="88" spans="2:8">
      <c r="B88" s="415" t="s">
        <v>463</v>
      </c>
      <c r="C88" s="415"/>
      <c r="D88" s="415"/>
      <c r="E88" s="415"/>
      <c r="F88" s="415"/>
      <c r="G88" s="415"/>
      <c r="H88" s="292"/>
    </row>
  </sheetData>
  <mergeCells count="20">
    <mergeCell ref="B88:G88"/>
    <mergeCell ref="D8:D9"/>
    <mergeCell ref="E8:E9"/>
    <mergeCell ref="F8:F9"/>
    <mergeCell ref="G8:G9"/>
    <mergeCell ref="B4:G6"/>
    <mergeCell ref="B8:B9"/>
    <mergeCell ref="C8:C9"/>
    <mergeCell ref="E81:E82"/>
    <mergeCell ref="F81:F82"/>
    <mergeCell ref="G81:G82"/>
    <mergeCell ref="B77:B78"/>
    <mergeCell ref="C77:C78"/>
    <mergeCell ref="D77:D78"/>
    <mergeCell ref="E77:E78"/>
    <mergeCell ref="F77:F78"/>
    <mergeCell ref="G77:G78"/>
    <mergeCell ref="B81:B82"/>
    <mergeCell ref="C81:C82"/>
    <mergeCell ref="D81:D82"/>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4:G50"/>
  <sheetViews>
    <sheetView showGridLines="0" topLeftCell="A10" zoomScale="102" zoomScaleNormal="102" workbookViewId="0">
      <selection activeCell="F23" sqref="F23"/>
    </sheetView>
  </sheetViews>
  <sheetFormatPr baseColWidth="10" defaultColWidth="10.85546875" defaultRowHeight="15"/>
  <cols>
    <col min="2" max="2" width="47" bestFit="1" customWidth="1"/>
    <col min="3" max="3" width="16.85546875" customWidth="1"/>
    <col min="4" max="4" width="17.42578125" bestFit="1" customWidth="1"/>
    <col min="6" max="6" width="12.85546875" bestFit="1" customWidth="1"/>
    <col min="8" max="8" width="17.28515625" customWidth="1"/>
  </cols>
  <sheetData>
    <row r="4" spans="2:4">
      <c r="B4" s="422" t="s">
        <v>564</v>
      </c>
      <c r="C4" s="422"/>
      <c r="D4" s="422"/>
    </row>
    <row r="5" spans="2:4">
      <c r="B5" s="422"/>
      <c r="C5" s="422"/>
      <c r="D5" s="422"/>
    </row>
    <row r="7" spans="2:4" ht="22.5">
      <c r="B7" s="191"/>
      <c r="C7" s="192" t="s">
        <v>77</v>
      </c>
      <c r="D7" s="158" t="s">
        <v>78</v>
      </c>
    </row>
    <row r="8" spans="2:4">
      <c r="B8" s="193" t="s">
        <v>79</v>
      </c>
      <c r="C8" s="194">
        <f>+SUM(C9:C16)</f>
        <v>96000553</v>
      </c>
      <c r="D8" s="194">
        <f>+SUM(D9:D16)</f>
        <v>3058054</v>
      </c>
    </row>
    <row r="9" spans="2:4">
      <c r="B9" s="195" t="s">
        <v>80</v>
      </c>
      <c r="C9" s="196"/>
      <c r="D9" s="200"/>
    </row>
    <row r="10" spans="2:4">
      <c r="B10" s="197" t="s">
        <v>81</v>
      </c>
      <c r="C10" s="198">
        <v>564317</v>
      </c>
      <c r="D10" s="198">
        <v>0</v>
      </c>
    </row>
    <row r="11" spans="2:4">
      <c r="B11" s="197" t="s">
        <v>82</v>
      </c>
      <c r="C11" s="247">
        <v>31398332</v>
      </c>
      <c r="D11" s="198">
        <v>640000</v>
      </c>
    </row>
    <row r="12" spans="2:4">
      <c r="B12" s="195" t="s">
        <v>83</v>
      </c>
      <c r="C12" s="196"/>
      <c r="D12" s="200"/>
    </row>
    <row r="13" spans="2:4">
      <c r="B13" s="197" t="s">
        <v>84</v>
      </c>
      <c r="C13" s="198">
        <v>4117759</v>
      </c>
      <c r="D13" s="198">
        <v>0</v>
      </c>
    </row>
    <row r="14" spans="2:4">
      <c r="B14" s="197" t="s">
        <v>85</v>
      </c>
      <c r="C14" s="198">
        <v>7151438</v>
      </c>
      <c r="D14" s="198">
        <v>0</v>
      </c>
    </row>
    <row r="15" spans="2:4">
      <c r="B15" s="199" t="s">
        <v>86</v>
      </c>
      <c r="C15" s="247">
        <v>30739401</v>
      </c>
      <c r="D15" s="198">
        <v>1024677</v>
      </c>
    </row>
    <row r="16" spans="2:4">
      <c r="B16" s="199" t="s">
        <v>87</v>
      </c>
      <c r="C16" s="247">
        <f>+'Anexo 5s-5w'!C33</f>
        <v>22029306</v>
      </c>
      <c r="D16" s="198">
        <v>1393377</v>
      </c>
    </row>
    <row r="17" spans="2:6">
      <c r="B17" s="193" t="s">
        <v>88</v>
      </c>
      <c r="C17" s="194">
        <f>SUM(C18:C20)</f>
        <v>-29636529</v>
      </c>
      <c r="D17" s="194">
        <f>SUM(D18:D20)</f>
        <v>-5950781</v>
      </c>
    </row>
    <row r="18" spans="2:6">
      <c r="B18" s="199" t="s">
        <v>89</v>
      </c>
      <c r="C18" s="201">
        <v>-3690321</v>
      </c>
      <c r="D18" s="200">
        <v>0</v>
      </c>
    </row>
    <row r="19" spans="2:6">
      <c r="B19" s="199" t="s">
        <v>90</v>
      </c>
      <c r="C19" s="201">
        <f>-'Anexo 5s-5w'!C45</f>
        <v>-24108769</v>
      </c>
      <c r="D19" s="201">
        <f>-'Anexo 5s-5w'!D45</f>
        <v>-5950781</v>
      </c>
    </row>
    <row r="20" spans="2:6">
      <c r="B20" s="199" t="s">
        <v>91</v>
      </c>
      <c r="C20" s="201">
        <f>-'Anexo 5s-5w'!C53</f>
        <v>-1837439</v>
      </c>
      <c r="D20" s="201">
        <v>0</v>
      </c>
      <c r="F20" s="19"/>
    </row>
    <row r="21" spans="2:6">
      <c r="B21" s="193" t="s">
        <v>92</v>
      </c>
      <c r="C21" s="194">
        <f>+C8+C17</f>
        <v>66364024</v>
      </c>
      <c r="D21" s="194">
        <f>+D8+D17</f>
        <v>-2892727</v>
      </c>
    </row>
    <row r="22" spans="2:6">
      <c r="B22" s="329" t="s">
        <v>578</v>
      </c>
      <c r="C22" s="202">
        <f>SUM(C23:C25)</f>
        <v>-545455</v>
      </c>
      <c r="D22" s="202">
        <f>SUM(D23:D25)</f>
        <v>-3997337</v>
      </c>
    </row>
    <row r="23" spans="2:6">
      <c r="B23" s="199" t="s">
        <v>93</v>
      </c>
      <c r="C23" s="201">
        <v>-545455</v>
      </c>
      <c r="D23" s="200">
        <v>-2337402</v>
      </c>
    </row>
    <row r="24" spans="2:6">
      <c r="B24" s="199" t="s">
        <v>94</v>
      </c>
      <c r="C24" s="201">
        <v>0</v>
      </c>
      <c r="D24" s="200">
        <v>-1345879</v>
      </c>
    </row>
    <row r="25" spans="2:6">
      <c r="B25" s="199" t="s">
        <v>95</v>
      </c>
      <c r="C25" s="201">
        <v>0</v>
      </c>
      <c r="D25" s="200">
        <f>-'Anexo 5s-5w'!D53</f>
        <v>-314056</v>
      </c>
    </row>
    <row r="26" spans="2:6">
      <c r="B26" s="195" t="s">
        <v>96</v>
      </c>
      <c r="C26" s="202">
        <f>SUM(C27:C32)</f>
        <v>-583429190</v>
      </c>
      <c r="D26" s="202">
        <f>SUM(D27:D32)</f>
        <v>-138110771</v>
      </c>
    </row>
    <row r="27" spans="2:6">
      <c r="B27" s="199" t="s">
        <v>97</v>
      </c>
      <c r="C27" s="201">
        <v>-95753848</v>
      </c>
      <c r="D27" s="200">
        <v>-28540256</v>
      </c>
    </row>
    <row r="28" spans="2:6">
      <c r="B28" s="199" t="s">
        <v>98</v>
      </c>
      <c r="C28" s="201">
        <v>0</v>
      </c>
      <c r="D28" s="200">
        <v>0</v>
      </c>
    </row>
    <row r="29" spans="2:6">
      <c r="B29" s="199" t="s">
        <v>99</v>
      </c>
      <c r="C29" s="201">
        <v>-11842364</v>
      </c>
      <c r="D29" s="200">
        <v>-916364</v>
      </c>
    </row>
    <row r="30" spans="2:6">
      <c r="B30" s="199" t="s">
        <v>100</v>
      </c>
      <c r="C30" s="201">
        <v>-1829556</v>
      </c>
      <c r="D30" s="200">
        <v>-914778</v>
      </c>
    </row>
    <row r="31" spans="2:6">
      <c r="B31" s="199" t="s">
        <v>101</v>
      </c>
      <c r="C31" s="201">
        <f>-773926</f>
        <v>-773926</v>
      </c>
      <c r="D31" s="200">
        <v>-211320</v>
      </c>
    </row>
    <row r="32" spans="2:6">
      <c r="B32" s="199" t="s">
        <v>102</v>
      </c>
      <c r="C32" s="201">
        <f>-'Anexo 5s-5w'!C83</f>
        <v>-473229496</v>
      </c>
      <c r="D32" s="200">
        <f>-'Anexo 5s-5w'!D83</f>
        <v>-107528053</v>
      </c>
    </row>
    <row r="33" spans="2:5">
      <c r="B33" s="193" t="s">
        <v>103</v>
      </c>
      <c r="C33" s="194">
        <f>+C21+C22+C26</f>
        <v>-517610621</v>
      </c>
      <c r="D33" s="194">
        <f>+D21+D22+D26</f>
        <v>-145000835</v>
      </c>
    </row>
    <row r="34" spans="2:5">
      <c r="B34" s="195" t="s">
        <v>104</v>
      </c>
      <c r="C34" s="203"/>
      <c r="D34" s="202"/>
    </row>
    <row r="35" spans="2:5">
      <c r="B35" s="199" t="s">
        <v>105</v>
      </c>
      <c r="C35" s="201">
        <f>+'Anexo 5x-5z'!C13</f>
        <v>30288003</v>
      </c>
      <c r="D35" s="200">
        <f>+'Anexo 5x-5z'!D13</f>
        <v>2456368</v>
      </c>
    </row>
    <row r="36" spans="2:5">
      <c r="B36" s="199" t="s">
        <v>106</v>
      </c>
      <c r="C36" s="201">
        <v>0</v>
      </c>
      <c r="D36" s="200">
        <v>0</v>
      </c>
    </row>
    <row r="37" spans="2:5">
      <c r="B37" s="195" t="s">
        <v>107</v>
      </c>
      <c r="C37" s="203"/>
      <c r="D37" s="202"/>
    </row>
    <row r="38" spans="2:5">
      <c r="B38" s="195" t="s">
        <v>108</v>
      </c>
      <c r="C38" s="203"/>
      <c r="D38" s="202"/>
    </row>
    <row r="39" spans="2:5">
      <c r="B39" s="199" t="s">
        <v>109</v>
      </c>
      <c r="C39" s="201">
        <f>+'Anexo 5x-5z'!C29</f>
        <v>47572881</v>
      </c>
      <c r="D39" s="200">
        <f>+'Anexo 5x-5z'!D29</f>
        <v>21062006</v>
      </c>
    </row>
    <row r="40" spans="2:5">
      <c r="B40" s="199" t="s">
        <v>110</v>
      </c>
      <c r="C40" s="201">
        <v>24461471</v>
      </c>
      <c r="D40" s="200">
        <v>-2748761</v>
      </c>
    </row>
    <row r="41" spans="2:5">
      <c r="B41" s="195" t="s">
        <v>111</v>
      </c>
      <c r="C41" s="203"/>
      <c r="D41" s="202"/>
    </row>
    <row r="42" spans="2:5">
      <c r="B42" s="199" t="s">
        <v>112</v>
      </c>
      <c r="C42" s="201">
        <f>-'Anexo 5x-5z'!C36</f>
        <v>-10076115</v>
      </c>
      <c r="D42" s="200">
        <f>-'Anexo 5x-5z'!D36</f>
        <v>0</v>
      </c>
    </row>
    <row r="43" spans="2:5">
      <c r="B43" s="199" t="s">
        <v>110</v>
      </c>
      <c r="C43" s="201">
        <v>-23267785</v>
      </c>
      <c r="D43" s="200">
        <v>-169457</v>
      </c>
    </row>
    <row r="44" spans="2:5">
      <c r="B44" s="193" t="s">
        <v>113</v>
      </c>
      <c r="C44" s="194">
        <f>SUM(C33:C43)</f>
        <v>-448632166</v>
      </c>
      <c r="D44" s="194">
        <f>SUM(D33:D43)</f>
        <v>-124400679</v>
      </c>
    </row>
    <row r="45" spans="2:5">
      <c r="B45" s="204" t="s">
        <v>114</v>
      </c>
      <c r="C45" s="194">
        <v>0</v>
      </c>
      <c r="D45" s="202">
        <v>0</v>
      </c>
    </row>
    <row r="46" spans="2:5">
      <c r="B46" s="204" t="s">
        <v>115</v>
      </c>
      <c r="C46" s="194">
        <v>0</v>
      </c>
      <c r="D46" s="202">
        <v>0</v>
      </c>
    </row>
    <row r="47" spans="2:5">
      <c r="B47" s="193" t="s">
        <v>116</v>
      </c>
      <c r="C47" s="194">
        <f>+C44-C45-C46</f>
        <v>-448632166</v>
      </c>
      <c r="D47" s="194">
        <f>SUM(D44:D46)</f>
        <v>-124400679</v>
      </c>
      <c r="E47" s="19"/>
    </row>
    <row r="48" spans="2:5">
      <c r="C48" s="19"/>
      <c r="D48" s="19"/>
    </row>
    <row r="49" spans="2:7">
      <c r="B49" s="4" t="s">
        <v>565</v>
      </c>
      <c r="C49" s="19"/>
      <c r="D49" s="4"/>
      <c r="E49" s="87"/>
      <c r="F49" s="342"/>
      <c r="G49" s="342"/>
    </row>
    <row r="50" spans="2:7">
      <c r="B50" s="415" t="s">
        <v>463</v>
      </c>
      <c r="C50" s="415"/>
      <c r="D50" s="415"/>
      <c r="E50" s="415"/>
      <c r="F50" s="415"/>
    </row>
  </sheetData>
  <mergeCells count="2">
    <mergeCell ref="B4:D5"/>
    <mergeCell ref="B50:F50"/>
  </mergeCells>
  <pageMargins left="0.70866141732283472" right="0.70866141732283472" top="1.3385826771653544" bottom="0.74803149606299213" header="0.31496062992125984" footer="0.31496062992125984"/>
  <pageSetup paperSize="9" scale="6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4:P25"/>
  <sheetViews>
    <sheetView showGridLines="0" zoomScale="102" zoomScaleNormal="102" workbookViewId="0">
      <selection activeCell="B6" sqref="B6:N6"/>
    </sheetView>
  </sheetViews>
  <sheetFormatPr baseColWidth="10" defaultColWidth="10.85546875" defaultRowHeight="15"/>
  <cols>
    <col min="1" max="1" width="4.85546875" customWidth="1"/>
    <col min="2" max="2" width="17.5703125" customWidth="1"/>
    <col min="3" max="3" width="16.42578125" customWidth="1"/>
    <col min="4" max="4" width="15" bestFit="1" customWidth="1"/>
    <col min="5" max="5" width="12.42578125" bestFit="1" customWidth="1"/>
    <col min="6" max="6" width="15" customWidth="1"/>
    <col min="7" max="7" width="16.85546875" customWidth="1"/>
    <col min="8" max="8" width="14.140625" bestFit="1" customWidth="1"/>
    <col min="9" max="9" width="14.140625" style="87" customWidth="1"/>
    <col min="10" max="10" width="14.140625" bestFit="1" customWidth="1"/>
    <col min="11" max="11" width="15.42578125" customWidth="1"/>
    <col min="12" max="12" width="16.140625" customWidth="1"/>
    <col min="13" max="13" width="15" bestFit="1" customWidth="1"/>
    <col min="14" max="14" width="14.140625" bestFit="1" customWidth="1"/>
    <col min="15" max="16" width="13.5703125" bestFit="1" customWidth="1"/>
  </cols>
  <sheetData>
    <row r="4" spans="1:15" ht="15.75">
      <c r="B4" s="424" t="s">
        <v>545</v>
      </c>
      <c r="C4" s="424"/>
      <c r="D4" s="424"/>
      <c r="E4" s="424"/>
      <c r="F4" s="424"/>
      <c r="G4" s="424"/>
      <c r="H4" s="424"/>
      <c r="I4" s="424"/>
      <c r="J4" s="424"/>
      <c r="K4" s="424"/>
      <c r="L4" s="424"/>
      <c r="M4" s="424"/>
      <c r="N4" s="424"/>
    </row>
    <row r="5" spans="1:15" ht="15.75">
      <c r="A5" s="10"/>
      <c r="B5" s="425" t="s">
        <v>566</v>
      </c>
      <c r="C5" s="425"/>
      <c r="D5" s="425"/>
      <c r="E5" s="425"/>
      <c r="F5" s="425"/>
      <c r="G5" s="425"/>
      <c r="H5" s="425"/>
      <c r="I5" s="425"/>
      <c r="J5" s="425"/>
      <c r="K5" s="425"/>
      <c r="L5" s="425"/>
      <c r="M5" s="425"/>
      <c r="N5" s="425"/>
    </row>
    <row r="6" spans="1:15" ht="15.75">
      <c r="A6" s="10"/>
      <c r="B6" s="424" t="s">
        <v>145</v>
      </c>
      <c r="C6" s="424"/>
      <c r="D6" s="424"/>
      <c r="E6" s="424"/>
      <c r="F6" s="424"/>
      <c r="G6" s="424"/>
      <c r="H6" s="424"/>
      <c r="I6" s="424"/>
      <c r="J6" s="424"/>
      <c r="K6" s="424"/>
      <c r="L6" s="424"/>
      <c r="M6" s="424"/>
      <c r="N6" s="424"/>
    </row>
    <row r="7" spans="1:15" ht="15.75">
      <c r="A7" s="10"/>
      <c r="B7" s="70"/>
      <c r="C7" s="70"/>
      <c r="D7" s="70"/>
      <c r="E7" s="70"/>
      <c r="F7" s="70"/>
      <c r="G7" s="70"/>
      <c r="H7" s="70"/>
      <c r="I7" s="79"/>
      <c r="J7" s="70"/>
      <c r="K7" s="70"/>
      <c r="L7" s="70"/>
      <c r="M7" s="70"/>
      <c r="N7" s="70"/>
    </row>
    <row r="8" spans="1:15">
      <c r="B8" s="423" t="s">
        <v>146</v>
      </c>
      <c r="C8" s="423" t="s">
        <v>147</v>
      </c>
      <c r="D8" s="423"/>
      <c r="E8" s="423"/>
      <c r="F8" s="423"/>
      <c r="G8" s="423" t="s">
        <v>148</v>
      </c>
      <c r="H8" s="423"/>
      <c r="I8" s="423"/>
      <c r="J8" s="423"/>
      <c r="K8" s="423" t="s">
        <v>149</v>
      </c>
      <c r="L8" s="423"/>
      <c r="M8" s="423" t="s">
        <v>150</v>
      </c>
      <c r="N8" s="423"/>
    </row>
    <row r="9" spans="1:15">
      <c r="B9" s="423"/>
      <c r="C9" s="423" t="s">
        <v>151</v>
      </c>
      <c r="D9" s="423" t="s">
        <v>152</v>
      </c>
      <c r="E9" s="423" t="s">
        <v>153</v>
      </c>
      <c r="F9" s="423" t="s">
        <v>154</v>
      </c>
      <c r="G9" s="423" t="s">
        <v>155</v>
      </c>
      <c r="H9" s="423" t="s">
        <v>364</v>
      </c>
      <c r="I9" s="423" t="s">
        <v>385</v>
      </c>
      <c r="J9" s="423" t="s">
        <v>156</v>
      </c>
      <c r="K9" s="423" t="s">
        <v>158</v>
      </c>
      <c r="L9" s="423" t="s">
        <v>159</v>
      </c>
      <c r="M9" s="114" t="s">
        <v>160</v>
      </c>
      <c r="N9" s="423" t="s">
        <v>162</v>
      </c>
    </row>
    <row r="10" spans="1:15">
      <c r="B10" s="423"/>
      <c r="C10" s="423"/>
      <c r="D10" s="423"/>
      <c r="E10" s="423"/>
      <c r="F10" s="423"/>
      <c r="G10" s="423"/>
      <c r="H10" s="423"/>
      <c r="I10" s="423"/>
      <c r="J10" s="423"/>
      <c r="K10" s="423"/>
      <c r="L10" s="423"/>
      <c r="M10" s="114" t="s">
        <v>161</v>
      </c>
      <c r="N10" s="423"/>
      <c r="O10" s="19"/>
    </row>
    <row r="11" spans="1:15" ht="25.5">
      <c r="B11" s="124" t="s">
        <v>344</v>
      </c>
      <c r="C11" s="186">
        <v>0</v>
      </c>
      <c r="D11" s="186">
        <f>+'Balance General'!G64</f>
        <v>1446151211</v>
      </c>
      <c r="E11" s="186">
        <v>0</v>
      </c>
      <c r="F11" s="186">
        <f>+'Balance General'!G62</f>
        <v>2274000000</v>
      </c>
      <c r="G11" s="186">
        <f>+'Balance General'!G66</f>
        <v>0</v>
      </c>
      <c r="H11" s="186">
        <v>0</v>
      </c>
      <c r="I11" s="186"/>
      <c r="J11" s="186">
        <f>+'Balance General'!G68</f>
        <v>0</v>
      </c>
      <c r="K11" s="186">
        <f>+'Balance General'!G69</f>
        <v>-226366</v>
      </c>
      <c r="L11" s="186">
        <f>+'Balance General'!G70</f>
        <v>-124400679</v>
      </c>
      <c r="M11" s="186">
        <v>0</v>
      </c>
      <c r="N11" s="186">
        <f>SUM(C11:L11)</f>
        <v>3595524166</v>
      </c>
      <c r="O11" s="19"/>
    </row>
    <row r="12" spans="1:15" ht="25.5">
      <c r="B12" s="110" t="s">
        <v>164</v>
      </c>
      <c r="C12" s="187">
        <v>0</v>
      </c>
      <c r="D12" s="187">
        <v>0</v>
      </c>
      <c r="E12" s="188"/>
      <c r="F12" s="107"/>
      <c r="G12" s="107">
        <v>0</v>
      </c>
      <c r="H12" s="112">
        <v>0</v>
      </c>
      <c r="I12" s="112"/>
      <c r="J12" s="187">
        <v>0</v>
      </c>
      <c r="K12" s="112">
        <f>+'Balance General'!F69</f>
        <v>-124627045</v>
      </c>
      <c r="L12" s="112">
        <f>-K12</f>
        <v>124627045</v>
      </c>
      <c r="M12" s="189">
        <v>0</v>
      </c>
      <c r="N12" s="186">
        <f>SUM(C12:L12)</f>
        <v>0</v>
      </c>
    </row>
    <row r="13" spans="1:15" ht="34.5" customHeight="1">
      <c r="B13" s="124" t="s">
        <v>157</v>
      </c>
      <c r="C13" s="187">
        <v>0</v>
      </c>
      <c r="D13" s="187">
        <f>+'Balance General'!F64-'Balance General'!G64</f>
        <v>-835770806</v>
      </c>
      <c r="E13" s="187">
        <v>0</v>
      </c>
      <c r="F13" s="187">
        <f>+'Balance General'!F62-'Balance General'!G62</f>
        <v>835770806</v>
      </c>
      <c r="G13" s="189">
        <v>0</v>
      </c>
      <c r="H13" s="189">
        <v>0</v>
      </c>
      <c r="I13" s="189"/>
      <c r="J13" s="189">
        <v>0</v>
      </c>
      <c r="K13" s="189">
        <v>0</v>
      </c>
      <c r="L13" s="189">
        <v>0</v>
      </c>
      <c r="M13" s="189">
        <f>SUM(C13:L13)</f>
        <v>0</v>
      </c>
      <c r="N13" s="186">
        <v>0</v>
      </c>
    </row>
    <row r="14" spans="1:15" ht="27" customHeight="1">
      <c r="B14" s="124" t="s">
        <v>165</v>
      </c>
      <c r="C14" s="189">
        <v>0</v>
      </c>
      <c r="D14" s="189">
        <v>0</v>
      </c>
      <c r="E14" s="189">
        <v>0</v>
      </c>
      <c r="F14" s="189">
        <v>0</v>
      </c>
      <c r="G14" s="190">
        <f>+'Balance General'!F66-'Balance General'!G66</f>
        <v>0</v>
      </c>
      <c r="H14" s="189">
        <v>0</v>
      </c>
      <c r="I14" s="189">
        <f>+'Balance General'!F67-'Balance General'!G67</f>
        <v>0</v>
      </c>
      <c r="J14" s="189">
        <v>0</v>
      </c>
      <c r="K14" s="189">
        <v>0</v>
      </c>
      <c r="L14" s="189">
        <v>0</v>
      </c>
      <c r="M14" s="189">
        <f>+G14</f>
        <v>0</v>
      </c>
      <c r="N14" s="186">
        <v>0</v>
      </c>
    </row>
    <row r="15" spans="1:15" ht="27" customHeight="1">
      <c r="B15" s="124" t="s">
        <v>363</v>
      </c>
      <c r="C15" s="189">
        <v>0</v>
      </c>
      <c r="D15" s="189">
        <v>0</v>
      </c>
      <c r="E15" s="189">
        <v>0</v>
      </c>
      <c r="F15" s="189">
        <v>0</v>
      </c>
      <c r="G15" s="190">
        <v>0</v>
      </c>
      <c r="H15" s="190">
        <v>0</v>
      </c>
      <c r="I15" s="190"/>
      <c r="J15" s="189">
        <v>0</v>
      </c>
      <c r="K15" s="187">
        <v>0</v>
      </c>
      <c r="L15" s="189">
        <v>0</v>
      </c>
      <c r="M15" s="189">
        <f>SUM(H15:L15)</f>
        <v>0</v>
      </c>
      <c r="N15" s="186">
        <v>0</v>
      </c>
    </row>
    <row r="16" spans="1:15" ht="25.5">
      <c r="B16" s="124" t="s">
        <v>345</v>
      </c>
      <c r="C16" s="189">
        <v>0</v>
      </c>
      <c r="D16" s="189">
        <v>0</v>
      </c>
      <c r="E16" s="189">
        <v>0</v>
      </c>
      <c r="F16" s="189">
        <v>0</v>
      </c>
      <c r="G16" s="186">
        <v>0</v>
      </c>
      <c r="H16" s="186">
        <v>0</v>
      </c>
      <c r="I16" s="186"/>
      <c r="J16" s="186">
        <v>0</v>
      </c>
      <c r="K16" s="80">
        <v>0</v>
      </c>
      <c r="L16" s="189">
        <f>+'Balance General'!F70</f>
        <v>-448632166</v>
      </c>
      <c r="M16" s="189">
        <f>+L16</f>
        <v>-448632166</v>
      </c>
      <c r="N16" s="186">
        <v>0</v>
      </c>
    </row>
    <row r="17" spans="2:16" ht="27" customHeight="1">
      <c r="B17" s="126" t="s">
        <v>358</v>
      </c>
      <c r="C17" s="186">
        <f>SUM(C11:C16)</f>
        <v>0</v>
      </c>
      <c r="D17" s="186">
        <f t="shared" ref="D17:L17" si="0">SUM(D11:D16)</f>
        <v>610380405</v>
      </c>
      <c r="E17" s="186">
        <f t="shared" si="0"/>
        <v>0</v>
      </c>
      <c r="F17" s="186">
        <f t="shared" si="0"/>
        <v>3109770806</v>
      </c>
      <c r="G17" s="186">
        <f t="shared" si="0"/>
        <v>0</v>
      </c>
      <c r="H17" s="186">
        <f t="shared" si="0"/>
        <v>0</v>
      </c>
      <c r="I17" s="186">
        <f t="shared" si="0"/>
        <v>0</v>
      </c>
      <c r="J17" s="186">
        <f t="shared" si="0"/>
        <v>0</v>
      </c>
      <c r="K17" s="186">
        <f>SUM(K11:K16)</f>
        <v>-124853411</v>
      </c>
      <c r="L17" s="186">
        <f t="shared" si="0"/>
        <v>-448405800</v>
      </c>
      <c r="M17" s="186">
        <f>SUM(C17:L17)</f>
        <v>3146892000</v>
      </c>
      <c r="N17" s="186">
        <v>0</v>
      </c>
      <c r="O17" s="19"/>
      <c r="P17" s="19"/>
    </row>
    <row r="18" spans="2:16" ht="25.5">
      <c r="B18" s="126" t="s">
        <v>359</v>
      </c>
      <c r="C18" s="186">
        <f>+C11</f>
        <v>0</v>
      </c>
      <c r="D18" s="186">
        <f>+D11</f>
        <v>1446151211</v>
      </c>
      <c r="E18" s="112">
        <f>+E11</f>
        <v>0</v>
      </c>
      <c r="F18" s="112">
        <f>+F11</f>
        <v>2274000000</v>
      </c>
      <c r="G18" s="186">
        <f>+G11</f>
        <v>0</v>
      </c>
      <c r="H18" s="186">
        <v>0</v>
      </c>
      <c r="I18" s="186">
        <v>0</v>
      </c>
      <c r="J18" s="186">
        <f>+J11</f>
        <v>0</v>
      </c>
      <c r="K18" s="186">
        <f>+K11</f>
        <v>-226366</v>
      </c>
      <c r="L18" s="186">
        <f>+L11</f>
        <v>-124400679</v>
      </c>
      <c r="M18" s="186">
        <f>+M11</f>
        <v>0</v>
      </c>
      <c r="N18" s="186">
        <f>+N11</f>
        <v>3595524166</v>
      </c>
      <c r="O18" s="19"/>
      <c r="P18" s="19"/>
    </row>
    <row r="19" spans="2:16">
      <c r="F19" s="19"/>
    </row>
    <row r="20" spans="2:16">
      <c r="B20" s="4" t="s">
        <v>565</v>
      </c>
    </row>
    <row r="21" spans="2:16" ht="16.5" customHeight="1">
      <c r="B21" s="303" t="s">
        <v>463</v>
      </c>
      <c r="C21" s="304"/>
      <c r="D21" s="305"/>
      <c r="E21" s="304"/>
      <c r="F21" s="304"/>
      <c r="G21" s="304"/>
      <c r="H21" s="304"/>
    </row>
    <row r="22" spans="2:16">
      <c r="B22" s="328"/>
      <c r="C22" s="42"/>
      <c r="D22" s="42"/>
      <c r="E22" s="42"/>
      <c r="F22" s="42"/>
      <c r="G22" s="42"/>
      <c r="H22" s="42"/>
      <c r="I22" s="42"/>
      <c r="J22" s="42"/>
      <c r="K22" s="42"/>
      <c r="L22" s="42"/>
      <c r="M22" s="42"/>
    </row>
    <row r="23" spans="2:16">
      <c r="B23" s="42"/>
      <c r="C23" s="42"/>
      <c r="D23" s="42"/>
      <c r="E23" s="42"/>
      <c r="F23" s="42"/>
      <c r="G23" s="42"/>
      <c r="H23" s="42"/>
      <c r="I23" s="42"/>
      <c r="J23" s="42"/>
      <c r="K23" s="42"/>
      <c r="L23" s="42"/>
      <c r="M23" s="42"/>
    </row>
    <row r="24" spans="2:16">
      <c r="B24" s="42"/>
      <c r="C24" s="42"/>
      <c r="D24" s="42"/>
      <c r="E24" s="42"/>
      <c r="F24" s="42"/>
      <c r="G24" s="42"/>
      <c r="H24" s="42"/>
      <c r="I24" s="42"/>
      <c r="J24" s="42"/>
      <c r="K24" s="42"/>
      <c r="L24" s="42"/>
      <c r="M24" s="42"/>
    </row>
    <row r="25" spans="2:16">
      <c r="B25" s="42"/>
      <c r="C25" s="42"/>
      <c r="D25" s="42"/>
      <c r="E25" s="42"/>
      <c r="F25" s="42"/>
      <c r="G25" s="42"/>
      <c r="H25" s="42"/>
      <c r="I25" s="42"/>
      <c r="J25" s="42"/>
      <c r="K25" s="42"/>
      <c r="L25" s="42"/>
      <c r="M25" s="42"/>
    </row>
  </sheetData>
  <mergeCells count="19">
    <mergeCell ref="H9:H10"/>
    <mergeCell ref="J9:J10"/>
    <mergeCell ref="N9:N10"/>
    <mergeCell ref="K9:K10"/>
    <mergeCell ref="L9:L10"/>
    <mergeCell ref="I9:I10"/>
    <mergeCell ref="B4:N4"/>
    <mergeCell ref="B5:N5"/>
    <mergeCell ref="B6:N6"/>
    <mergeCell ref="B8:B10"/>
    <mergeCell ref="C8:F8"/>
    <mergeCell ref="G8:J8"/>
    <mergeCell ref="K8:L8"/>
    <mergeCell ref="M8:N8"/>
    <mergeCell ref="C9:C10"/>
    <mergeCell ref="D9:D10"/>
    <mergeCell ref="E9:E10"/>
    <mergeCell ref="F9:F10"/>
    <mergeCell ref="G9:G10"/>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4:F44"/>
  <sheetViews>
    <sheetView showGridLines="0" topLeftCell="A4" zoomScale="102" zoomScaleNormal="102" workbookViewId="0">
      <selection activeCell="C42" sqref="C42"/>
    </sheetView>
  </sheetViews>
  <sheetFormatPr baseColWidth="10" defaultColWidth="10.85546875" defaultRowHeight="15"/>
  <cols>
    <col min="2" max="2" width="74.85546875" bestFit="1" customWidth="1"/>
    <col min="3" max="3" width="14.5703125" bestFit="1" customWidth="1"/>
    <col min="4" max="4" width="16.5703125" customWidth="1"/>
    <col min="7" max="7" width="15.28515625" customWidth="1"/>
  </cols>
  <sheetData>
    <row r="4" spans="2:6">
      <c r="B4" s="422" t="s">
        <v>567</v>
      </c>
      <c r="C4" s="422"/>
      <c r="D4" s="422"/>
    </row>
    <row r="5" spans="2:6">
      <c r="B5" s="426" t="s">
        <v>566</v>
      </c>
      <c r="C5" s="426"/>
      <c r="D5" s="426"/>
    </row>
    <row r="6" spans="2:6">
      <c r="B6" s="427" t="s">
        <v>117</v>
      </c>
      <c r="C6" s="427"/>
      <c r="D6" s="427"/>
    </row>
    <row r="9" spans="2:6" ht="24">
      <c r="B9" s="165"/>
      <c r="C9" s="119" t="s">
        <v>77</v>
      </c>
      <c r="D9" s="166" t="s">
        <v>78</v>
      </c>
      <c r="E9" s="3"/>
    </row>
    <row r="10" spans="2:6">
      <c r="B10" s="167" t="s">
        <v>118</v>
      </c>
      <c r="C10" s="168"/>
      <c r="D10" s="168"/>
      <c r="E10" s="3"/>
    </row>
    <row r="11" spans="2:6">
      <c r="B11" s="169" t="s">
        <v>119</v>
      </c>
      <c r="C11" s="170">
        <f>+'Estado de Resultados'!C8</f>
        <v>96000553</v>
      </c>
      <c r="D11" s="170">
        <v>3058054</v>
      </c>
      <c r="E11" s="3"/>
    </row>
    <row r="12" spans="2:6">
      <c r="B12" s="169" t="s">
        <v>120</v>
      </c>
      <c r="C12" s="170">
        <f>+'Estado de Resultados'!C27-'Anexo 5s-5w'!C60-'Anexo 5s-5w'!C61-'Anexo 5s-5w'!C62-'Anexo 5s-5w'!C63-'Anexo 5s-5w'!C64-'Anexo 5s-5w'!C65+'Balance General'!F26-'Balance General'!G26</f>
        <v>-383736727</v>
      </c>
      <c r="D12" s="170">
        <v>-108198043</v>
      </c>
      <c r="E12" s="3"/>
    </row>
    <row r="13" spans="2:6">
      <c r="B13" s="169" t="s">
        <v>121</v>
      </c>
      <c r="C13" s="170">
        <f>+'Estado de Resultados'!C35+'Estado de Resultados'!C39+'Estado de Resultados'!C40+'Estado de Resultados'!C43+'Estado de Resultados'!C39+'Estado de Resultados'!C35-1564626</f>
        <v>155350828</v>
      </c>
      <c r="D13" s="170">
        <v>20600156</v>
      </c>
      <c r="E13" s="3"/>
    </row>
    <row r="14" spans="2:6">
      <c r="B14" s="428" t="s">
        <v>122</v>
      </c>
      <c r="C14" s="429">
        <f>SUM(C11:C13)</f>
        <v>-132385346</v>
      </c>
      <c r="D14" s="429">
        <f>SUM(D11:D13)</f>
        <v>-84539833</v>
      </c>
      <c r="E14" s="3"/>
    </row>
    <row r="15" spans="2:6">
      <c r="B15" s="428"/>
      <c r="C15" s="429"/>
      <c r="D15" s="429"/>
      <c r="E15" s="3"/>
      <c r="F15" s="3"/>
    </row>
    <row r="16" spans="2:6">
      <c r="B16" s="171" t="s">
        <v>123</v>
      </c>
      <c r="C16" s="172"/>
      <c r="D16" s="173"/>
      <c r="E16" s="3"/>
    </row>
    <row r="17" spans="2:5">
      <c r="B17" s="169" t="s">
        <v>124</v>
      </c>
      <c r="C17" s="170">
        <f>+'Balance General'!C58-'Balance General'!D58</f>
        <v>57956727</v>
      </c>
      <c r="D17" s="175">
        <v>49194705</v>
      </c>
      <c r="E17" s="3"/>
    </row>
    <row r="18" spans="2:5">
      <c r="B18" s="171" t="s">
        <v>125</v>
      </c>
      <c r="C18" s="176"/>
      <c r="D18" s="176"/>
      <c r="E18" s="3"/>
    </row>
    <row r="19" spans="2:5">
      <c r="B19" s="169" t="s">
        <v>126</v>
      </c>
      <c r="C19" s="170">
        <f>-'Balance General'!F11+'Balance General'!G11+'Estado de Resultados'!C32+'Estado de Resultados'!C23+252013770</f>
        <v>-326271788</v>
      </c>
      <c r="D19" s="170">
        <v>-447849853</v>
      </c>
      <c r="E19" s="3"/>
    </row>
    <row r="20" spans="2:5">
      <c r="B20" s="171" t="s">
        <v>127</v>
      </c>
      <c r="C20" s="174"/>
      <c r="D20" s="174"/>
      <c r="E20" s="3"/>
    </row>
    <row r="21" spans="2:5">
      <c r="B21" s="169" t="s">
        <v>365</v>
      </c>
      <c r="C21" s="170">
        <v>0</v>
      </c>
      <c r="D21" s="170">
        <v>-211320</v>
      </c>
      <c r="E21" s="3"/>
    </row>
    <row r="22" spans="2:5">
      <c r="B22" s="171" t="s">
        <v>544</v>
      </c>
      <c r="C22" s="175">
        <f>SUM(C16:C21)</f>
        <v>-268315061</v>
      </c>
      <c r="D22" s="175">
        <f>SUM(D16:D21)</f>
        <v>-398866468</v>
      </c>
      <c r="E22" s="3"/>
    </row>
    <row r="23" spans="2:5">
      <c r="B23" s="167" t="s">
        <v>128</v>
      </c>
      <c r="C23" s="168"/>
      <c r="D23" s="168"/>
      <c r="E23" s="3"/>
    </row>
    <row r="24" spans="2:5">
      <c r="B24" s="169" t="s">
        <v>129</v>
      </c>
      <c r="C24" s="170">
        <f>-'Balance General'!C21+'Balance General'!D21</f>
        <v>-400000000</v>
      </c>
      <c r="D24" s="170">
        <v>-900000000</v>
      </c>
      <c r="E24" s="3"/>
    </row>
    <row r="25" spans="2:5">
      <c r="B25" s="169" t="s">
        <v>130</v>
      </c>
      <c r="C25" s="170">
        <f>-'Balance General'!C41-'Balance General'!C42+'Balance General'!D41+'Balance General'!D42</f>
        <v>369265898</v>
      </c>
      <c r="D25" s="170">
        <v>-369944869</v>
      </c>
      <c r="E25" s="3"/>
    </row>
    <row r="26" spans="2:5">
      <c r="B26" s="169" t="s">
        <v>131</v>
      </c>
      <c r="C26" s="170">
        <v>0</v>
      </c>
      <c r="D26" s="170">
        <v>0</v>
      </c>
      <c r="E26" s="3"/>
    </row>
    <row r="27" spans="2:5">
      <c r="B27" s="169" t="s">
        <v>362</v>
      </c>
      <c r="C27" s="170">
        <f>-'Balance General'!C58+'Balance General'!D58-'Balance General'!F31</f>
        <v>-71446969</v>
      </c>
      <c r="D27" s="170">
        <v>-49194705</v>
      </c>
      <c r="E27" s="3"/>
    </row>
    <row r="28" spans="2:5" ht="15.75" customHeight="1">
      <c r="B28" s="169" t="s">
        <v>132</v>
      </c>
      <c r="C28" s="170">
        <f>-'Balance General'!C22+'Balance General'!D22</f>
        <v>-884421767</v>
      </c>
      <c r="D28" s="170">
        <v>-1723486077</v>
      </c>
      <c r="E28" s="3"/>
    </row>
    <row r="29" spans="2:5">
      <c r="B29" s="169" t="s">
        <v>133</v>
      </c>
      <c r="C29" s="170">
        <v>0</v>
      </c>
      <c r="D29" s="170">
        <v>0</v>
      </c>
      <c r="E29" s="3"/>
    </row>
    <row r="30" spans="2:5">
      <c r="B30" s="169" t="s">
        <v>134</v>
      </c>
      <c r="C30" s="170">
        <f>-'Balance General'!C24+'Balance General'!D24</f>
        <v>-41959635</v>
      </c>
      <c r="D30" s="170">
        <v>-10450000</v>
      </c>
      <c r="E30" s="3"/>
    </row>
    <row r="31" spans="2:5">
      <c r="B31" s="171" t="s">
        <v>135</v>
      </c>
      <c r="C31" s="175">
        <f>SUM(C24:C30)</f>
        <v>-1028562473</v>
      </c>
      <c r="D31" s="175">
        <f>SUM(D24:D30)</f>
        <v>-3053075651</v>
      </c>
      <c r="E31" s="3"/>
    </row>
    <row r="32" spans="2:5">
      <c r="B32" s="167" t="s">
        <v>136</v>
      </c>
      <c r="C32" s="168"/>
      <c r="D32" s="168"/>
      <c r="E32" s="3"/>
    </row>
    <row r="33" spans="2:5">
      <c r="B33" s="169" t="s">
        <v>137</v>
      </c>
      <c r="C33" s="170">
        <f>+'Balance General'!G62-'Balance General'!F62+'Balance General'!G64-'Balance General'!F64</f>
        <v>0</v>
      </c>
      <c r="D33" s="170">
        <v>3710151211</v>
      </c>
      <c r="E33" s="3"/>
    </row>
    <row r="34" spans="2:5">
      <c r="B34" s="169" t="s">
        <v>138</v>
      </c>
      <c r="C34" s="177">
        <f>+'Balance General'!F35-'Balance General'!G35</f>
        <v>1293568526</v>
      </c>
      <c r="D34" s="174">
        <v>0</v>
      </c>
      <c r="E34" s="3"/>
    </row>
    <row r="35" spans="2:5" hidden="1">
      <c r="B35" s="169" t="s">
        <v>139</v>
      </c>
      <c r="C35" s="174">
        <v>0</v>
      </c>
      <c r="D35" s="174">
        <v>0</v>
      </c>
      <c r="E35" s="3"/>
    </row>
    <row r="36" spans="2:5">
      <c r="B36" s="169" t="s">
        <v>140</v>
      </c>
      <c r="C36" s="177">
        <f>+'Estado de Resultados'!C42</f>
        <v>-10076115</v>
      </c>
      <c r="D36" s="174">
        <v>0</v>
      </c>
      <c r="E36" s="3"/>
    </row>
    <row r="37" spans="2:5">
      <c r="B37" s="171" t="s">
        <v>141</v>
      </c>
      <c r="C37" s="175">
        <f>SUM(C33:C36)</f>
        <v>1283492411</v>
      </c>
      <c r="D37" s="175">
        <f>SUM(D33:D36)</f>
        <v>3710151211</v>
      </c>
      <c r="E37" s="3"/>
    </row>
    <row r="38" spans="2:5">
      <c r="B38" s="171" t="s">
        <v>369</v>
      </c>
      <c r="C38" s="209">
        <f>+'Estado de Resultados'!C40+'Estado de Resultados'!C43</f>
        <v>1193686</v>
      </c>
      <c r="D38" s="175">
        <v>-2918218</v>
      </c>
      <c r="E38" s="3"/>
    </row>
    <row r="39" spans="2:5">
      <c r="B39" s="171" t="s">
        <v>142</v>
      </c>
      <c r="C39" s="175">
        <f>+C38+C37+C31+C22+C14</f>
        <v>-144576783</v>
      </c>
      <c r="D39" s="175">
        <f>+D14+D22+D31+D37+D38</f>
        <v>170751041</v>
      </c>
      <c r="E39" s="3"/>
    </row>
    <row r="40" spans="2:5">
      <c r="B40" s="171" t="s">
        <v>143</v>
      </c>
      <c r="C40" s="170">
        <v>180502038</v>
      </c>
      <c r="D40" s="170">
        <v>9750997</v>
      </c>
      <c r="E40" s="3"/>
    </row>
    <row r="41" spans="2:5">
      <c r="B41" s="171" t="s">
        <v>144</v>
      </c>
      <c r="C41" s="170">
        <f>+C39+C40</f>
        <v>35925255</v>
      </c>
      <c r="D41" s="178">
        <f>+D39+D40</f>
        <v>180502038</v>
      </c>
      <c r="E41" s="3"/>
    </row>
    <row r="42" spans="2:5">
      <c r="C42" s="19"/>
    </row>
    <row r="43" spans="2:5" s="87" customFormat="1">
      <c r="B43" s="4" t="s">
        <v>565</v>
      </c>
    </row>
    <row r="44" spans="2:5">
      <c r="B44" s="303" t="s">
        <v>463</v>
      </c>
      <c r="C44" s="304"/>
      <c r="D44" s="305"/>
      <c r="E44" s="302"/>
    </row>
  </sheetData>
  <mergeCells count="6">
    <mergeCell ref="B5:D5"/>
    <mergeCell ref="B4:D4"/>
    <mergeCell ref="B6:D6"/>
    <mergeCell ref="B14:B15"/>
    <mergeCell ref="C14:C15"/>
    <mergeCell ref="D14:D15"/>
  </mergeCells>
  <pageMargins left="0.70866141732283472" right="0.70866141732283472" top="1.1417322834645669" bottom="0.74803149606299213" header="0.31496062992125984" footer="0.31496062992125984"/>
  <pageSetup scale="77"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2:G42"/>
  <sheetViews>
    <sheetView showGridLines="0" topLeftCell="A34" zoomScale="102" zoomScaleNormal="102" workbookViewId="0">
      <selection activeCell="C40" sqref="C40"/>
    </sheetView>
  </sheetViews>
  <sheetFormatPr baseColWidth="10" defaultColWidth="10.85546875" defaultRowHeight="15"/>
  <cols>
    <col min="1" max="1" width="10.85546875" style="87"/>
    <col min="2" max="2" width="5" style="179" customWidth="1"/>
    <col min="3" max="3" width="89.28515625" customWidth="1"/>
    <col min="5" max="5" width="15.42578125" customWidth="1"/>
  </cols>
  <sheetData>
    <row r="2" spans="2:4">
      <c r="B2" s="430" t="s">
        <v>166</v>
      </c>
      <c r="C2" s="431"/>
      <c r="D2" s="432"/>
    </row>
    <row r="3" spans="2:4">
      <c r="B3" s="433"/>
      <c r="C3" s="434"/>
      <c r="D3" s="435"/>
    </row>
    <row r="4" spans="2:4" ht="37.5" customHeight="1">
      <c r="B4" s="436" t="s">
        <v>562</v>
      </c>
      <c r="C4" s="437"/>
      <c r="D4" s="438"/>
    </row>
    <row r="5" spans="2:4" ht="15.75" customHeight="1">
      <c r="B5" s="350" t="s">
        <v>167</v>
      </c>
      <c r="C5" s="351" t="s">
        <v>499</v>
      </c>
      <c r="D5" s="352"/>
    </row>
    <row r="6" spans="2:4" s="87" customFormat="1" ht="9.6" customHeight="1">
      <c r="B6" s="350"/>
      <c r="C6" s="351"/>
      <c r="D6" s="352"/>
    </row>
    <row r="7" spans="2:4" ht="39">
      <c r="B7" s="353"/>
      <c r="C7" s="354" t="s">
        <v>563</v>
      </c>
      <c r="D7" s="352"/>
    </row>
    <row r="8" spans="2:4">
      <c r="B8" s="349"/>
      <c r="C8" s="355"/>
      <c r="D8" s="352"/>
    </row>
    <row r="9" spans="2:4">
      <c r="B9" s="350" t="s">
        <v>168</v>
      </c>
      <c r="C9" s="351" t="s">
        <v>500</v>
      </c>
      <c r="D9" s="352"/>
    </row>
    <row r="10" spans="2:4" ht="4.9000000000000004" customHeight="1">
      <c r="B10" s="349"/>
      <c r="C10" s="356"/>
      <c r="D10" s="352"/>
    </row>
    <row r="11" spans="2:4">
      <c r="B11" s="349"/>
      <c r="C11" s="351" t="s">
        <v>169</v>
      </c>
      <c r="D11" s="352"/>
    </row>
    <row r="12" spans="2:4" ht="47.25" customHeight="1">
      <c r="B12" s="349"/>
      <c r="C12" s="357" t="s">
        <v>386</v>
      </c>
      <c r="D12" s="352"/>
    </row>
    <row r="13" spans="2:4" ht="51">
      <c r="B13" s="349"/>
      <c r="C13" s="358" t="s">
        <v>387</v>
      </c>
      <c r="D13" s="352"/>
    </row>
    <row r="14" spans="2:4" ht="25.5">
      <c r="B14" s="349"/>
      <c r="C14" s="358" t="s">
        <v>170</v>
      </c>
      <c r="D14" s="352"/>
    </row>
    <row r="15" spans="2:4" ht="63.75">
      <c r="B15" s="349"/>
      <c r="C15" s="359" t="s">
        <v>171</v>
      </c>
      <c r="D15" s="352"/>
    </row>
    <row r="16" spans="2:4">
      <c r="B16" s="349"/>
      <c r="C16" s="21"/>
      <c r="D16" s="352"/>
    </row>
    <row r="17" spans="2:4">
      <c r="B17" s="349"/>
      <c r="C17" s="351" t="s">
        <v>172</v>
      </c>
      <c r="D17" s="352"/>
    </row>
    <row r="18" spans="2:4">
      <c r="B18" s="349"/>
      <c r="C18" s="359" t="s">
        <v>469</v>
      </c>
      <c r="D18" s="352"/>
    </row>
    <row r="19" spans="2:4">
      <c r="B19" s="349"/>
      <c r="C19" s="21"/>
      <c r="D19" s="352"/>
    </row>
    <row r="20" spans="2:4">
      <c r="B20" s="349"/>
      <c r="C20" s="21"/>
      <c r="D20" s="352"/>
    </row>
    <row r="21" spans="2:4">
      <c r="B21" s="350" t="s">
        <v>173</v>
      </c>
      <c r="C21" s="351" t="s">
        <v>501</v>
      </c>
      <c r="D21" s="352"/>
    </row>
    <row r="22" spans="2:4" ht="47.45" customHeight="1">
      <c r="B22" s="349"/>
      <c r="C22" s="360" t="s">
        <v>537</v>
      </c>
      <c r="D22" s="352"/>
    </row>
    <row r="23" spans="2:4">
      <c r="B23" s="349"/>
      <c r="C23" s="356"/>
      <c r="D23" s="352"/>
    </row>
    <row r="24" spans="2:4" ht="63.75">
      <c r="B24" s="349"/>
      <c r="C24" s="359" t="s">
        <v>388</v>
      </c>
      <c r="D24" s="352"/>
    </row>
    <row r="25" spans="2:4">
      <c r="B25" s="349"/>
      <c r="C25" s="356"/>
      <c r="D25" s="352"/>
    </row>
    <row r="26" spans="2:4" ht="25.5">
      <c r="B26" s="349"/>
      <c r="C26" s="359" t="s">
        <v>502</v>
      </c>
      <c r="D26" s="352"/>
    </row>
    <row r="27" spans="2:4" ht="25.5">
      <c r="B27" s="349"/>
      <c r="C27" s="359" t="s">
        <v>174</v>
      </c>
      <c r="D27" s="352"/>
    </row>
    <row r="28" spans="2:4">
      <c r="B28" s="349"/>
      <c r="C28" s="356"/>
      <c r="D28" s="352"/>
    </row>
    <row r="29" spans="2:4" ht="25.5">
      <c r="B29" s="349"/>
      <c r="C29" s="359" t="s">
        <v>503</v>
      </c>
      <c r="D29" s="352"/>
    </row>
    <row r="30" spans="2:4">
      <c r="B30" s="349"/>
      <c r="C30" s="359"/>
      <c r="D30" s="352"/>
    </row>
    <row r="31" spans="2:4" ht="63.75">
      <c r="B31" s="349"/>
      <c r="C31" s="359" t="s">
        <v>175</v>
      </c>
      <c r="D31" s="352"/>
    </row>
    <row r="32" spans="2:4">
      <c r="B32" s="349"/>
      <c r="C32" s="356"/>
      <c r="D32" s="352"/>
    </row>
    <row r="33" spans="2:7">
      <c r="B33" s="349"/>
      <c r="C33" s="359" t="s">
        <v>176</v>
      </c>
      <c r="D33" s="352"/>
    </row>
    <row r="34" spans="2:7">
      <c r="B34" s="349"/>
      <c r="C34" s="21"/>
      <c r="D34" s="352"/>
    </row>
    <row r="35" spans="2:7">
      <c r="B35" s="350" t="s">
        <v>177</v>
      </c>
      <c r="C35" s="351" t="s">
        <v>504</v>
      </c>
      <c r="D35" s="352"/>
    </row>
    <row r="36" spans="2:7" ht="15" customHeight="1">
      <c r="B36" s="349"/>
      <c r="C36" s="359" t="s">
        <v>178</v>
      </c>
      <c r="D36" s="352"/>
    </row>
    <row r="37" spans="2:7">
      <c r="B37" s="349"/>
      <c r="C37" s="21"/>
      <c r="D37" s="352"/>
    </row>
    <row r="38" spans="2:7" s="87" customFormat="1">
      <c r="B38" s="346" t="s">
        <v>560</v>
      </c>
      <c r="C38" s="347" t="s">
        <v>561</v>
      </c>
      <c r="D38" s="348"/>
    </row>
    <row r="39" spans="2:7" s="87" customFormat="1" ht="45" customHeight="1">
      <c r="B39" s="349"/>
      <c r="C39" s="439" t="s">
        <v>568</v>
      </c>
      <c r="D39" s="440"/>
    </row>
    <row r="40" spans="2:7">
      <c r="B40" s="361"/>
      <c r="C40" s="362"/>
      <c r="D40" s="363"/>
    </row>
    <row r="41" spans="2:7">
      <c r="C41" s="9"/>
      <c r="D41" s="89"/>
      <c r="E41" s="441"/>
      <c r="F41" s="441"/>
      <c r="G41" s="441"/>
    </row>
    <row r="42" spans="2:7">
      <c r="C42" s="9"/>
      <c r="D42" s="88"/>
      <c r="E42" s="442"/>
      <c r="F42" s="442"/>
      <c r="G42" s="442"/>
    </row>
  </sheetData>
  <mergeCells count="5">
    <mergeCell ref="B2:D3"/>
    <mergeCell ref="B4:D4"/>
    <mergeCell ref="C39:D39"/>
    <mergeCell ref="E41:G41"/>
    <mergeCell ref="E42:G42"/>
  </mergeCells>
  <pageMargins left="0.70866141732283472" right="0.70866141732283472" top="1.3385826771653544" bottom="0.74803149606299213" header="0.31496062992125984" footer="0.31496062992125984"/>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3:J43"/>
  <sheetViews>
    <sheetView showGridLines="0" topLeftCell="A16" zoomScale="102" zoomScaleNormal="102" workbookViewId="0">
      <selection activeCell="F24" sqref="F24"/>
    </sheetView>
  </sheetViews>
  <sheetFormatPr baseColWidth="10" defaultColWidth="10.85546875" defaultRowHeight="15"/>
  <cols>
    <col min="1" max="1" width="7" customWidth="1"/>
    <col min="2" max="2" width="37.42578125" bestFit="1" customWidth="1"/>
    <col min="3" max="3" width="17.140625" customWidth="1"/>
    <col min="4" max="4" width="19.42578125" customWidth="1"/>
    <col min="5" max="5" width="15" customWidth="1"/>
    <col min="6" max="6" width="14" customWidth="1"/>
    <col min="9" max="9" width="16.5703125" customWidth="1"/>
    <col min="10" max="10" width="11.85546875" bestFit="1" customWidth="1"/>
  </cols>
  <sheetData>
    <row r="3" spans="1:7" s="87" customFormat="1"/>
    <row r="4" spans="1:7">
      <c r="A4" s="268" t="s">
        <v>536</v>
      </c>
      <c r="B4" s="289" t="s">
        <v>543</v>
      </c>
      <c r="C4" s="289"/>
      <c r="D4" s="289"/>
      <c r="E4" s="289"/>
      <c r="F4" s="289"/>
      <c r="G4" s="289"/>
    </row>
    <row r="5" spans="1:7">
      <c r="B5" s="280" t="s">
        <v>179</v>
      </c>
      <c r="C5" s="281"/>
      <c r="D5" s="281"/>
      <c r="E5" s="281"/>
    </row>
    <row r="6" spans="1:7" ht="37.5" customHeight="1">
      <c r="B6" s="443" t="s">
        <v>180</v>
      </c>
      <c r="C6" s="443"/>
      <c r="D6" s="443"/>
      <c r="E6" s="443"/>
    </row>
    <row r="8" spans="1:7">
      <c r="B8" s="444"/>
      <c r="C8" s="114" t="s">
        <v>181</v>
      </c>
      <c r="D8" s="114" t="s">
        <v>183</v>
      </c>
    </row>
    <row r="9" spans="1:7" ht="12.6" customHeight="1">
      <c r="B9" s="444"/>
      <c r="C9" s="114" t="s">
        <v>182</v>
      </c>
      <c r="D9" s="114" t="s">
        <v>184</v>
      </c>
    </row>
    <row r="10" spans="1:7">
      <c r="B10" s="105" t="s">
        <v>185</v>
      </c>
      <c r="C10" s="150">
        <v>6837.9</v>
      </c>
      <c r="D10" s="150">
        <v>6870.81</v>
      </c>
    </row>
    <row r="11" spans="1:7">
      <c r="B11" s="105" t="s">
        <v>186</v>
      </c>
      <c r="C11" s="150">
        <v>6850.05</v>
      </c>
      <c r="D11" s="150">
        <v>6887.4</v>
      </c>
    </row>
    <row r="13" spans="1:7">
      <c r="B13" s="280" t="s">
        <v>187</v>
      </c>
    </row>
    <row r="14" spans="1:7">
      <c r="B14" s="281"/>
    </row>
    <row r="15" spans="1:7">
      <c r="B15" s="450" t="s">
        <v>188</v>
      </c>
      <c r="C15" s="450"/>
    </row>
    <row r="17" spans="2:10" ht="15" customHeight="1">
      <c r="B17" s="446" t="s">
        <v>189</v>
      </c>
      <c r="C17" s="446" t="s">
        <v>190</v>
      </c>
      <c r="D17" s="446" t="s">
        <v>191</v>
      </c>
      <c r="E17" s="445" t="s">
        <v>192</v>
      </c>
      <c r="F17" s="445" t="s">
        <v>193</v>
      </c>
      <c r="G17" s="445" t="s">
        <v>347</v>
      </c>
      <c r="H17" s="445" t="s">
        <v>194</v>
      </c>
      <c r="I17" s="445" t="s">
        <v>346</v>
      </c>
    </row>
    <row r="18" spans="2:10">
      <c r="B18" s="447"/>
      <c r="C18" s="447"/>
      <c r="D18" s="447"/>
      <c r="E18" s="445"/>
      <c r="F18" s="445"/>
      <c r="G18" s="445"/>
      <c r="H18" s="445"/>
      <c r="I18" s="445"/>
    </row>
    <row r="19" spans="2:10">
      <c r="B19" s="448"/>
      <c r="C19" s="448"/>
      <c r="D19" s="448"/>
      <c r="E19" s="445"/>
      <c r="F19" s="445"/>
      <c r="G19" s="445"/>
      <c r="H19" s="445"/>
      <c r="I19" s="445"/>
    </row>
    <row r="20" spans="2:10">
      <c r="B20" s="152" t="s">
        <v>195</v>
      </c>
      <c r="C20" s="153"/>
      <c r="D20" s="212"/>
      <c r="E20" s="153"/>
      <c r="F20" s="153"/>
      <c r="G20" s="153"/>
      <c r="H20" s="153"/>
      <c r="I20" s="153"/>
    </row>
    <row r="21" spans="2:10">
      <c r="B21" s="154" t="s">
        <v>196</v>
      </c>
      <c r="C21" s="153"/>
      <c r="D21" s="212"/>
      <c r="E21" s="153"/>
      <c r="F21" s="153"/>
      <c r="G21" s="153"/>
      <c r="H21" s="153"/>
      <c r="I21" s="153"/>
    </row>
    <row r="22" spans="2:10">
      <c r="B22" s="155" t="s">
        <v>541</v>
      </c>
      <c r="C22" s="156" t="s">
        <v>390</v>
      </c>
      <c r="D22" s="151">
        <v>423.89</v>
      </c>
      <c r="E22" s="151">
        <f t="shared" ref="E22:E27" si="0">+$C$10</f>
        <v>6837.9</v>
      </c>
      <c r="F22" s="157">
        <f t="shared" ref="F22:F27" si="1">+D22*E22</f>
        <v>2898517.4309999999</v>
      </c>
      <c r="G22" s="151">
        <v>20224.689999999999</v>
      </c>
      <c r="H22" s="151">
        <f t="shared" ref="H22:H27" si="2">+$D$10</f>
        <v>6870.81</v>
      </c>
      <c r="I22" s="157">
        <f t="shared" ref="I22:I27" si="3">+H22*G22</f>
        <v>138960002.29890001</v>
      </c>
      <c r="J22" s="19"/>
    </row>
    <row r="23" spans="2:10">
      <c r="B23" s="211" t="s">
        <v>440</v>
      </c>
      <c r="C23" s="156" t="s">
        <v>390</v>
      </c>
      <c r="D23" s="151">
        <v>0.45</v>
      </c>
      <c r="E23" s="151">
        <f t="shared" si="0"/>
        <v>6837.9</v>
      </c>
      <c r="F23" s="157">
        <f t="shared" si="1"/>
        <v>3077.0549999999998</v>
      </c>
      <c r="G23" s="151">
        <v>3420.5</v>
      </c>
      <c r="H23" s="151">
        <f t="shared" si="2"/>
        <v>6870.81</v>
      </c>
      <c r="I23" s="157">
        <f t="shared" si="3"/>
        <v>23501605.605</v>
      </c>
      <c r="J23" s="19"/>
    </row>
    <row r="24" spans="2:10">
      <c r="B24" s="155" t="s">
        <v>450</v>
      </c>
      <c r="C24" s="156" t="s">
        <v>390</v>
      </c>
      <c r="D24" s="151">
        <v>140000</v>
      </c>
      <c r="E24" s="151">
        <f t="shared" si="0"/>
        <v>6837.9</v>
      </c>
      <c r="F24" s="157">
        <f t="shared" si="1"/>
        <v>957306000</v>
      </c>
      <c r="G24" s="151">
        <v>30000</v>
      </c>
      <c r="H24" s="151">
        <f t="shared" si="2"/>
        <v>6870.81</v>
      </c>
      <c r="I24" s="157">
        <f t="shared" si="3"/>
        <v>206124300</v>
      </c>
    </row>
    <row r="25" spans="2:10" s="87" customFormat="1">
      <c r="B25" s="155" t="s">
        <v>451</v>
      </c>
      <c r="C25" s="156" t="s">
        <v>390</v>
      </c>
      <c r="D25" s="151">
        <v>1257.6600000000001</v>
      </c>
      <c r="E25" s="151">
        <f t="shared" si="0"/>
        <v>6837.9</v>
      </c>
      <c r="F25" s="157">
        <f t="shared" si="1"/>
        <v>8599753.3139999993</v>
      </c>
      <c r="G25" s="151">
        <f>54138.57-52835.26</f>
        <v>1303.3099999999977</v>
      </c>
      <c r="H25" s="151">
        <f t="shared" si="2"/>
        <v>6870.81</v>
      </c>
      <c r="I25" s="157">
        <f t="shared" si="3"/>
        <v>8954795.381099984</v>
      </c>
    </row>
    <row r="26" spans="2:10" s="87" customFormat="1">
      <c r="B26" s="155" t="s">
        <v>452</v>
      </c>
      <c r="C26" s="156" t="s">
        <v>390</v>
      </c>
      <c r="D26" s="151">
        <v>0</v>
      </c>
      <c r="E26" s="151">
        <f t="shared" si="0"/>
        <v>6837.9</v>
      </c>
      <c r="F26" s="157">
        <f t="shared" si="1"/>
        <v>0</v>
      </c>
      <c r="G26" s="151">
        <v>60000</v>
      </c>
      <c r="H26" s="151">
        <f t="shared" si="2"/>
        <v>6870.81</v>
      </c>
      <c r="I26" s="157">
        <f t="shared" si="3"/>
        <v>412248600</v>
      </c>
    </row>
    <row r="27" spans="2:10" s="87" customFormat="1">
      <c r="B27" s="155" t="s">
        <v>453</v>
      </c>
      <c r="C27" s="156" t="s">
        <v>390</v>
      </c>
      <c r="D27" s="151">
        <v>50000</v>
      </c>
      <c r="E27" s="151">
        <f t="shared" si="0"/>
        <v>6837.9</v>
      </c>
      <c r="F27" s="157">
        <f t="shared" si="1"/>
        <v>341895000</v>
      </c>
      <c r="G27" s="151">
        <v>50000</v>
      </c>
      <c r="H27" s="151">
        <f t="shared" si="2"/>
        <v>6870.81</v>
      </c>
      <c r="I27" s="157">
        <f t="shared" si="3"/>
        <v>343540500</v>
      </c>
    </row>
    <row r="28" spans="2:10" s="87" customFormat="1">
      <c r="B28" s="154" t="s">
        <v>454</v>
      </c>
      <c r="C28" s="156"/>
      <c r="D28" s="151"/>
      <c r="E28" s="151"/>
      <c r="F28" s="157"/>
      <c r="G28" s="151"/>
      <c r="H28" s="156" t="s">
        <v>197</v>
      </c>
      <c r="I28" s="156" t="s">
        <v>197</v>
      </c>
    </row>
    <row r="29" spans="2:10" s="87" customFormat="1">
      <c r="B29" s="155" t="s">
        <v>446</v>
      </c>
      <c r="C29" s="156" t="s">
        <v>390</v>
      </c>
      <c r="D29" s="151">
        <v>140200.91</v>
      </c>
      <c r="E29" s="151">
        <f>+C11</f>
        <v>6850.05</v>
      </c>
      <c r="F29" s="157">
        <f>+D29*E29</f>
        <v>960383243.54550004</v>
      </c>
      <c r="G29" s="151">
        <v>29355.32</v>
      </c>
      <c r="H29" s="151">
        <f>+D11</f>
        <v>6887.4</v>
      </c>
      <c r="I29" s="157">
        <f>+H29*G29</f>
        <v>202181830.96799999</v>
      </c>
    </row>
    <row r="30" spans="2:10">
      <c r="B30" s="155"/>
      <c r="C30" s="156"/>
      <c r="D30" s="151"/>
      <c r="E30" s="151"/>
      <c r="F30" s="157"/>
      <c r="G30" s="151"/>
      <c r="H30" s="151"/>
      <c r="I30" s="157"/>
    </row>
    <row r="32" spans="2:10">
      <c r="B32" s="449" t="s">
        <v>198</v>
      </c>
      <c r="C32" s="449"/>
    </row>
    <row r="34" spans="2:6" ht="33.75">
      <c r="B34" s="158" t="s">
        <v>199</v>
      </c>
      <c r="C34" s="158" t="s">
        <v>200</v>
      </c>
      <c r="D34" s="158" t="s">
        <v>201</v>
      </c>
      <c r="E34" s="158" t="s">
        <v>202</v>
      </c>
      <c r="F34" s="158" t="s">
        <v>203</v>
      </c>
    </row>
    <row r="35" spans="2:6">
      <c r="B35" s="162" t="s">
        <v>441</v>
      </c>
      <c r="C35" s="232">
        <f>+C10</f>
        <v>6837.9</v>
      </c>
      <c r="D35" s="233">
        <v>24461471</v>
      </c>
      <c r="E35" s="234">
        <f>+D10</f>
        <v>6870.81</v>
      </c>
      <c r="F35" s="163">
        <v>0</v>
      </c>
    </row>
    <row r="36" spans="2:6">
      <c r="B36" s="162" t="s">
        <v>441</v>
      </c>
      <c r="C36" s="232">
        <f>+C11</f>
        <v>6850.05</v>
      </c>
      <c r="D36" s="233">
        <v>-23267785</v>
      </c>
      <c r="E36" s="246">
        <f>+D11</f>
        <v>6887.4</v>
      </c>
      <c r="F36" s="163">
        <v>0</v>
      </c>
    </row>
    <row r="37" spans="2:6">
      <c r="B37" s="159"/>
      <c r="C37" s="151"/>
      <c r="D37" s="157"/>
      <c r="E37" s="160"/>
      <c r="F37" s="161"/>
    </row>
    <row r="38" spans="2:6">
      <c r="B38" s="159"/>
      <c r="C38" s="151"/>
      <c r="D38" s="157"/>
      <c r="E38" s="160"/>
      <c r="F38" s="161"/>
    </row>
    <row r="39" spans="2:6">
      <c r="B39" s="12"/>
      <c r="C39" s="13"/>
      <c r="D39" s="14"/>
      <c r="E39" s="13"/>
      <c r="F39" s="14"/>
    </row>
    <row r="40" spans="2:6">
      <c r="B40" s="12"/>
      <c r="C40" s="13"/>
      <c r="D40" s="14"/>
      <c r="E40" s="13"/>
      <c r="F40" s="14"/>
    </row>
    <row r="41" spans="2:6">
      <c r="B41" s="12"/>
      <c r="C41" s="13"/>
      <c r="D41" s="14"/>
      <c r="E41" s="13"/>
      <c r="F41" s="14"/>
    </row>
    <row r="42" spans="2:6">
      <c r="B42" s="12"/>
      <c r="C42" s="13"/>
      <c r="D42" s="14"/>
      <c r="E42" s="13"/>
      <c r="F42" s="14"/>
    </row>
    <row r="43" spans="2:6">
      <c r="B43" s="12"/>
      <c r="C43" s="13"/>
      <c r="D43" s="14"/>
      <c r="E43" s="13"/>
      <c r="F43" s="14"/>
    </row>
  </sheetData>
  <mergeCells count="12">
    <mergeCell ref="B32:C32"/>
    <mergeCell ref="B15:C15"/>
    <mergeCell ref="I17:I19"/>
    <mergeCell ref="H17:H19"/>
    <mergeCell ref="G17:G19"/>
    <mergeCell ref="B6:E6"/>
    <mergeCell ref="B8:B9"/>
    <mergeCell ref="E17:E19"/>
    <mergeCell ref="F17:F19"/>
    <mergeCell ref="C17:C19"/>
    <mergeCell ref="D17:D19"/>
    <mergeCell ref="B17:B19"/>
  </mergeCells>
  <pageMargins left="0.70866141732283472" right="0.70866141732283472" top="1.1417322834645669" bottom="0.74803149606299213" header="0.31496062992125984" footer="0.31496062992125984"/>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2:N75"/>
  <sheetViews>
    <sheetView showGridLines="0" topLeftCell="A52" zoomScale="102" zoomScaleNormal="102" workbookViewId="0">
      <selection activeCell="E65" sqref="E65"/>
    </sheetView>
  </sheetViews>
  <sheetFormatPr baseColWidth="10" defaultColWidth="10.85546875" defaultRowHeight="15"/>
  <cols>
    <col min="1" max="1" width="4.140625" customWidth="1"/>
    <col min="2" max="2" width="53.85546875" customWidth="1"/>
    <col min="3" max="3" width="18.28515625" customWidth="1"/>
    <col min="4" max="4" width="17.85546875" customWidth="1"/>
    <col min="5" max="5" width="23" bestFit="1" customWidth="1"/>
    <col min="6" max="6" width="14" customWidth="1"/>
    <col min="7" max="7" width="13.28515625" bestFit="1" customWidth="1"/>
    <col min="8" max="8" width="15.42578125" customWidth="1"/>
    <col min="9" max="9" width="13.28515625" bestFit="1" customWidth="1"/>
  </cols>
  <sheetData>
    <row r="2" spans="2:5" s="87" customFormat="1"/>
    <row r="3" spans="2:5" ht="20.45" customHeight="1">
      <c r="B3" s="280" t="s">
        <v>204</v>
      </c>
      <c r="C3" s="281"/>
      <c r="D3" s="281"/>
      <c r="E3" s="281"/>
    </row>
    <row r="4" spans="2:5">
      <c r="B4" s="457"/>
      <c r="C4" s="457"/>
      <c r="D4" s="457"/>
      <c r="E4" s="457"/>
    </row>
    <row r="6" spans="2:5">
      <c r="B6" s="459" t="s">
        <v>205</v>
      </c>
      <c r="C6" s="459" t="s">
        <v>206</v>
      </c>
      <c r="D6" s="451" t="s">
        <v>207</v>
      </c>
    </row>
    <row r="7" spans="2:5">
      <c r="B7" s="459"/>
      <c r="C7" s="459"/>
      <c r="D7" s="451"/>
    </row>
    <row r="8" spans="2:5">
      <c r="B8" s="81" t="s">
        <v>208</v>
      </c>
      <c r="C8" s="82">
        <f>9720997+668800</f>
        <v>10389797</v>
      </c>
      <c r="D8" s="82">
        <f>+'Balance General'!D12</f>
        <v>11160718</v>
      </c>
    </row>
    <row r="9" spans="2:5">
      <c r="B9" s="81" t="s">
        <v>540</v>
      </c>
      <c r="C9" s="82">
        <v>11541937</v>
      </c>
      <c r="D9" s="82">
        <v>30381318</v>
      </c>
    </row>
    <row r="10" spans="2:5">
      <c r="B10" s="81" t="s">
        <v>541</v>
      </c>
      <c r="C10" s="82">
        <v>2898517</v>
      </c>
      <c r="D10" s="82">
        <v>138960002</v>
      </c>
    </row>
    <row r="11" spans="2:5" s="87" customFormat="1">
      <c r="B11" s="81" t="s">
        <v>576</v>
      </c>
      <c r="C11" s="82">
        <v>3358631</v>
      </c>
      <c r="D11" s="82"/>
    </row>
    <row r="12" spans="2:5" s="87" customFormat="1">
      <c r="B12" s="81" t="s">
        <v>542</v>
      </c>
      <c r="C12" s="82">
        <v>7736373</v>
      </c>
      <c r="D12" s="82">
        <v>0</v>
      </c>
    </row>
    <row r="13" spans="2:5">
      <c r="B13" s="83" t="s">
        <v>209</v>
      </c>
      <c r="C13" s="84">
        <f>SUM(C8:C12)</f>
        <v>35925255</v>
      </c>
      <c r="D13" s="84">
        <f>SUM(D8:D12)</f>
        <v>180502038</v>
      </c>
    </row>
    <row r="15" spans="2:5">
      <c r="B15" s="280" t="s">
        <v>210</v>
      </c>
      <c r="C15" s="281"/>
      <c r="D15" s="281"/>
    </row>
    <row r="16" spans="2:5">
      <c r="B16" s="457" t="s">
        <v>211</v>
      </c>
      <c r="C16" s="457"/>
      <c r="D16" s="457"/>
    </row>
    <row r="18" spans="2:9">
      <c r="B18" s="423" t="s">
        <v>212</v>
      </c>
      <c r="C18" s="423"/>
      <c r="D18" s="423"/>
      <c r="E18" s="423"/>
      <c r="F18" s="423"/>
      <c r="G18" s="423" t="s">
        <v>213</v>
      </c>
      <c r="H18" s="423"/>
      <c r="I18" s="423"/>
    </row>
    <row r="19" spans="2:9" ht="18" customHeight="1">
      <c r="B19" s="181"/>
      <c r="C19" s="181" t="s">
        <v>214</v>
      </c>
      <c r="D19" s="453" t="s">
        <v>215</v>
      </c>
      <c r="E19" s="453" t="s">
        <v>216</v>
      </c>
      <c r="F19" s="181" t="s">
        <v>217</v>
      </c>
      <c r="G19" s="181"/>
      <c r="H19" s="181"/>
      <c r="I19" s="181" t="s">
        <v>219</v>
      </c>
    </row>
    <row r="20" spans="2:9">
      <c r="B20" s="181" t="s">
        <v>220</v>
      </c>
      <c r="C20" s="181" t="s">
        <v>221</v>
      </c>
      <c r="D20" s="453"/>
      <c r="E20" s="453"/>
      <c r="F20" s="181" t="s">
        <v>222</v>
      </c>
      <c r="G20" s="181" t="s">
        <v>147</v>
      </c>
      <c r="H20" s="181" t="s">
        <v>218</v>
      </c>
      <c r="I20" s="181" t="s">
        <v>223</v>
      </c>
    </row>
    <row r="21" spans="2:9">
      <c r="B21" s="182" t="s">
        <v>224</v>
      </c>
      <c r="C21" s="183"/>
      <c r="D21" s="184"/>
      <c r="E21" s="185"/>
      <c r="F21" s="185"/>
      <c r="G21" s="184"/>
      <c r="H21" s="184"/>
      <c r="I21" s="184"/>
    </row>
    <row r="22" spans="2:9">
      <c r="B22" s="206" t="s">
        <v>391</v>
      </c>
      <c r="C22" s="207" t="s">
        <v>392</v>
      </c>
      <c r="D22" s="207">
        <v>1</v>
      </c>
      <c r="E22" s="106">
        <v>200000000</v>
      </c>
      <c r="F22" s="106">
        <v>900000000</v>
      </c>
      <c r="G22" s="208">
        <v>8800000000</v>
      </c>
      <c r="H22" s="208">
        <v>5717972748</v>
      </c>
      <c r="I22" s="208">
        <v>17574471761</v>
      </c>
    </row>
    <row r="23" spans="2:9">
      <c r="B23" s="124"/>
      <c r="C23" s="134"/>
      <c r="D23" s="134"/>
      <c r="E23" s="108"/>
      <c r="F23" s="107"/>
      <c r="G23" s="134"/>
      <c r="H23" s="134"/>
      <c r="I23" s="134"/>
    </row>
    <row r="24" spans="2:9">
      <c r="B24" s="454"/>
      <c r="C24" s="454"/>
      <c r="D24" s="454"/>
      <c r="E24" s="135">
        <v>0</v>
      </c>
      <c r="F24" s="135">
        <f>SUM(F22:F23)</f>
        <v>900000000</v>
      </c>
      <c r="G24" s="134"/>
      <c r="H24" s="134"/>
      <c r="I24" s="134"/>
    </row>
    <row r="25" spans="2:9">
      <c r="B25" s="456" t="s">
        <v>225</v>
      </c>
      <c r="C25" s="456"/>
      <c r="D25" s="456"/>
      <c r="E25" s="112">
        <v>0</v>
      </c>
      <c r="F25" s="136">
        <v>0</v>
      </c>
      <c r="G25" s="134"/>
      <c r="H25" s="134"/>
      <c r="I25" s="134"/>
    </row>
    <row r="27" spans="2:9">
      <c r="B27" s="280" t="s">
        <v>226</v>
      </c>
      <c r="C27" s="281"/>
      <c r="D27" s="281"/>
      <c r="E27" s="281"/>
      <c r="F27" s="281"/>
    </row>
    <row r="28" spans="2:9" ht="47.25" customHeight="1">
      <c r="B28" s="443" t="s">
        <v>467</v>
      </c>
      <c r="C28" s="443"/>
      <c r="D28" s="443"/>
      <c r="E28" s="443"/>
      <c r="F28" s="443"/>
    </row>
    <row r="29" spans="2:9" ht="27" customHeight="1">
      <c r="B29" s="114" t="s">
        <v>6</v>
      </c>
      <c r="C29" s="114" t="s">
        <v>227</v>
      </c>
      <c r="D29" s="114" t="s">
        <v>228</v>
      </c>
      <c r="E29" s="114" t="s">
        <v>229</v>
      </c>
    </row>
    <row r="30" spans="2:9" s="27" customFormat="1">
      <c r="B30" s="137" t="s">
        <v>230</v>
      </c>
      <c r="C30" s="138">
        <v>200000000</v>
      </c>
      <c r="D30" s="138">
        <v>900000000</v>
      </c>
      <c r="E30" s="138">
        <v>900000000</v>
      </c>
    </row>
    <row r="31" spans="2:9">
      <c r="B31" s="105" t="s">
        <v>231</v>
      </c>
      <c r="C31" s="139"/>
      <c r="D31" s="138"/>
      <c r="E31" s="139"/>
    </row>
    <row r="33" spans="2:13">
      <c r="B33" s="280" t="s">
        <v>232</v>
      </c>
      <c r="C33" s="281"/>
      <c r="D33" s="281"/>
      <c r="E33" s="281"/>
      <c r="F33" s="281"/>
    </row>
    <row r="34" spans="2:13">
      <c r="B34" s="457" t="s">
        <v>211</v>
      </c>
      <c r="C34" s="457"/>
      <c r="D34" s="457"/>
      <c r="E34" s="457"/>
      <c r="F34" s="457"/>
    </row>
    <row r="35" spans="2:13">
      <c r="B35" s="284"/>
      <c r="C35" s="281"/>
      <c r="D35" s="281"/>
      <c r="E35" s="281"/>
      <c r="F35" s="281"/>
    </row>
    <row r="36" spans="2:13">
      <c r="B36" s="458" t="s">
        <v>518</v>
      </c>
      <c r="C36" s="458"/>
      <c r="D36" s="281"/>
      <c r="E36" s="281"/>
      <c r="F36" s="281"/>
    </row>
    <row r="37" spans="2:13">
      <c r="B37" s="452" t="s">
        <v>199</v>
      </c>
      <c r="C37" s="452" t="s">
        <v>206</v>
      </c>
      <c r="D37" s="452" t="s">
        <v>233</v>
      </c>
    </row>
    <row r="38" spans="2:13" ht="6.6" customHeight="1">
      <c r="B38" s="452"/>
      <c r="C38" s="452"/>
      <c r="D38" s="452"/>
    </row>
    <row r="39" spans="2:13">
      <c r="B39" s="120" t="s">
        <v>569</v>
      </c>
      <c r="C39" s="140">
        <v>17824635</v>
      </c>
      <c r="D39" s="140"/>
    </row>
    <row r="40" spans="2:13">
      <c r="B40" s="120"/>
      <c r="C40" s="140"/>
      <c r="D40" s="140"/>
    </row>
    <row r="41" spans="2:13">
      <c r="B41" s="122" t="s">
        <v>234</v>
      </c>
      <c r="C41" s="141">
        <f>+C40+C39</f>
        <v>17824635</v>
      </c>
      <c r="D41" s="141">
        <f>+D40+D39</f>
        <v>0</v>
      </c>
    </row>
    <row r="43" spans="2:13">
      <c r="B43" s="280" t="s">
        <v>519</v>
      </c>
    </row>
    <row r="44" spans="2:13">
      <c r="B44" s="455" t="s">
        <v>408</v>
      </c>
      <c r="C44" s="455" t="s">
        <v>206</v>
      </c>
      <c r="D44" s="455" t="s">
        <v>233</v>
      </c>
    </row>
    <row r="45" spans="2:13">
      <c r="B45" s="455"/>
      <c r="C45" s="455"/>
      <c r="D45" s="455"/>
    </row>
    <row r="46" spans="2:13" ht="15.75">
      <c r="B46" s="142" t="s">
        <v>435</v>
      </c>
      <c r="C46" s="143">
        <v>34585000</v>
      </c>
      <c r="D46" s="143">
        <v>10450000</v>
      </c>
      <c r="E46" s="76">
        <v>15</v>
      </c>
      <c r="G46" s="22"/>
    </row>
    <row r="47" spans="2:13" ht="15.75">
      <c r="B47" s="142"/>
      <c r="C47" s="143"/>
      <c r="D47" s="144"/>
      <c r="E47" s="76"/>
      <c r="G47" s="22"/>
    </row>
    <row r="48" spans="2:13" ht="15.75">
      <c r="B48" s="145" t="s">
        <v>234</v>
      </c>
      <c r="C48" s="146">
        <f>SUM(C46:C47)</f>
        <v>34585000</v>
      </c>
      <c r="D48" s="146">
        <f>SUM(D46:D47)</f>
        <v>10450000</v>
      </c>
      <c r="E48" s="50"/>
      <c r="G48" s="23"/>
      <c r="I48" s="27"/>
      <c r="J48" s="27"/>
      <c r="K48" s="27"/>
      <c r="L48" s="27"/>
      <c r="M48" s="27"/>
    </row>
    <row r="50" spans="2:14">
      <c r="B50" s="280" t="s">
        <v>235</v>
      </c>
    </row>
    <row r="51" spans="2:14">
      <c r="B51" s="451" t="s">
        <v>236</v>
      </c>
      <c r="C51" s="451" t="s">
        <v>237</v>
      </c>
      <c r="D51" s="451"/>
      <c r="E51" s="451"/>
      <c r="F51" s="451"/>
      <c r="G51" s="451"/>
      <c r="H51" s="451" t="s">
        <v>238</v>
      </c>
      <c r="I51" s="451"/>
      <c r="J51" s="451"/>
      <c r="K51" s="451"/>
      <c r="L51" s="451"/>
      <c r="M51" s="451"/>
      <c r="N51" s="3"/>
    </row>
    <row r="52" spans="2:14">
      <c r="B52" s="451"/>
      <c r="C52" s="451" t="s">
        <v>239</v>
      </c>
      <c r="D52" s="451" t="s">
        <v>240</v>
      </c>
      <c r="E52" s="451" t="s">
        <v>241</v>
      </c>
      <c r="F52" s="451" t="s">
        <v>242</v>
      </c>
      <c r="G52" s="451" t="s">
        <v>243</v>
      </c>
      <c r="H52" s="451" t="s">
        <v>244</v>
      </c>
      <c r="I52" s="451" t="s">
        <v>240</v>
      </c>
      <c r="J52" s="451" t="s">
        <v>241</v>
      </c>
      <c r="K52" s="451" t="s">
        <v>245</v>
      </c>
      <c r="L52" s="451" t="s">
        <v>246</v>
      </c>
      <c r="M52" s="451" t="s">
        <v>247</v>
      </c>
      <c r="N52" s="3"/>
    </row>
    <row r="53" spans="2:14">
      <c r="B53" s="451"/>
      <c r="C53" s="451"/>
      <c r="D53" s="451"/>
      <c r="E53" s="451"/>
      <c r="F53" s="451"/>
      <c r="G53" s="451"/>
      <c r="H53" s="451"/>
      <c r="I53" s="451"/>
      <c r="J53" s="451"/>
      <c r="K53" s="451"/>
      <c r="L53" s="451"/>
      <c r="M53" s="451"/>
      <c r="N53" s="3"/>
    </row>
    <row r="54" spans="2:14">
      <c r="B54" s="451"/>
      <c r="C54" s="451"/>
      <c r="D54" s="451"/>
      <c r="E54" s="451"/>
      <c r="F54" s="451"/>
      <c r="G54" s="451"/>
      <c r="H54" s="451"/>
      <c r="I54" s="451"/>
      <c r="J54" s="451"/>
      <c r="K54" s="451"/>
      <c r="L54" s="451"/>
      <c r="M54" s="451"/>
      <c r="N54" s="3"/>
    </row>
    <row r="55" spans="2:14">
      <c r="B55" s="335" t="s">
        <v>248</v>
      </c>
      <c r="C55" s="336">
        <v>2336364</v>
      </c>
      <c r="D55" s="336">
        <v>4950000</v>
      </c>
      <c r="E55" s="335" t="s">
        <v>163</v>
      </c>
      <c r="F55" s="335"/>
      <c r="G55" s="336">
        <f>+D55+C55</f>
        <v>7286364</v>
      </c>
      <c r="H55" s="336"/>
      <c r="I55" s="337" t="s">
        <v>163</v>
      </c>
      <c r="J55" s="337" t="s">
        <v>163</v>
      </c>
      <c r="K55" s="338">
        <v>0</v>
      </c>
      <c r="L55" s="339">
        <f>SUM(H55:K55)</f>
        <v>0</v>
      </c>
      <c r="M55" s="339">
        <f>+G55</f>
        <v>7286364</v>
      </c>
      <c r="N55" s="3"/>
    </row>
    <row r="56" spans="2:14">
      <c r="B56" s="101" t="s">
        <v>360</v>
      </c>
      <c r="C56" s="95">
        <v>46858341</v>
      </c>
      <c r="D56" s="95">
        <v>6204545</v>
      </c>
      <c r="E56" s="102">
        <v>0</v>
      </c>
      <c r="F56" s="102">
        <v>0</v>
      </c>
      <c r="G56" s="95">
        <f>SUM(C56:F56)</f>
        <v>53062886</v>
      </c>
      <c r="H56" s="95"/>
      <c r="I56" s="104" t="s">
        <v>163</v>
      </c>
      <c r="J56" s="104" t="s">
        <v>163</v>
      </c>
      <c r="K56" s="147">
        <v>0</v>
      </c>
      <c r="L56" s="94">
        <f>SUM(H56:K56)</f>
        <v>0</v>
      </c>
      <c r="M56" s="339">
        <f>+G56</f>
        <v>53062886</v>
      </c>
      <c r="N56" s="3"/>
    </row>
    <row r="57" spans="2:14">
      <c r="B57" s="101" t="s">
        <v>361</v>
      </c>
      <c r="C57" s="95"/>
      <c r="D57" s="95"/>
      <c r="E57" s="102" t="s">
        <v>163</v>
      </c>
      <c r="F57" s="102"/>
      <c r="G57" s="95">
        <f>SUM(C57:F57)</f>
        <v>0</v>
      </c>
      <c r="H57" s="95"/>
      <c r="I57" s="104" t="s">
        <v>163</v>
      </c>
      <c r="J57" s="104" t="s">
        <v>163</v>
      </c>
      <c r="K57" s="147"/>
      <c r="L57" s="94">
        <f>SUM(H57:K57)</f>
        <v>0</v>
      </c>
      <c r="M57" s="339">
        <f>+G57</f>
        <v>0</v>
      </c>
      <c r="N57" s="3"/>
    </row>
    <row r="58" spans="2:14" s="87" customFormat="1">
      <c r="B58" s="335" t="s">
        <v>538</v>
      </c>
      <c r="C58" s="330">
        <v>0</v>
      </c>
      <c r="D58" s="330">
        <v>5893091</v>
      </c>
      <c r="E58" s="331"/>
      <c r="F58" s="331"/>
      <c r="G58" s="330">
        <f>SUM(C58:F58)</f>
        <v>5893091</v>
      </c>
      <c r="H58" s="330"/>
      <c r="I58" s="334"/>
      <c r="J58" s="334"/>
      <c r="K58" s="332"/>
      <c r="L58" s="333">
        <f>SUM(H58:K58)</f>
        <v>0</v>
      </c>
      <c r="M58" s="339">
        <f>+G58</f>
        <v>5893091</v>
      </c>
      <c r="N58" s="3"/>
    </row>
    <row r="59" spans="2:14" s="87" customFormat="1">
      <c r="B59" s="335" t="s">
        <v>539</v>
      </c>
      <c r="C59" s="330">
        <v>0</v>
      </c>
      <c r="D59" s="330">
        <v>40909091</v>
      </c>
      <c r="E59" s="331"/>
      <c r="F59" s="331"/>
      <c r="G59" s="330">
        <f>SUM(C59:F59)</f>
        <v>40909091</v>
      </c>
      <c r="H59" s="330"/>
      <c r="I59" s="334"/>
      <c r="J59" s="334"/>
      <c r="K59" s="332"/>
      <c r="L59" s="333">
        <v>0</v>
      </c>
      <c r="M59" s="339">
        <f>+G59</f>
        <v>40909091</v>
      </c>
      <c r="N59" s="3"/>
    </row>
    <row r="60" spans="2:14">
      <c r="B60" s="101"/>
      <c r="C60" s="102"/>
      <c r="D60" s="102"/>
      <c r="E60" s="102"/>
      <c r="F60" s="102"/>
      <c r="G60" s="102">
        <f>SUM(C60:F60)</f>
        <v>0</v>
      </c>
      <c r="H60" s="102"/>
      <c r="I60" s="104"/>
      <c r="J60" s="104"/>
      <c r="K60" s="104"/>
      <c r="L60" s="104"/>
      <c r="M60" s="104"/>
      <c r="N60" s="3"/>
    </row>
    <row r="61" spans="2:14">
      <c r="B61" s="148" t="s">
        <v>249</v>
      </c>
      <c r="C61" s="98">
        <f>SUM(C55:C60)</f>
        <v>49194705</v>
      </c>
      <c r="D61" s="103"/>
      <c r="E61" s="103"/>
      <c r="F61" s="103"/>
      <c r="G61" s="98">
        <f>SUM(G55:G60)</f>
        <v>107151432</v>
      </c>
      <c r="H61" s="98">
        <f>SUM(H55:H60)</f>
        <v>0</v>
      </c>
      <c r="I61" s="149"/>
      <c r="J61" s="149"/>
      <c r="K61" s="97">
        <f>SUM(K55:K60)</f>
        <v>0</v>
      </c>
      <c r="L61" s="97">
        <f>SUM(L55:L60)</f>
        <v>0</v>
      </c>
      <c r="M61" s="97">
        <f>+G61-L61</f>
        <v>107151432</v>
      </c>
      <c r="N61" s="3"/>
    </row>
    <row r="62" spans="2:14">
      <c r="B62" s="148" t="s">
        <v>250</v>
      </c>
      <c r="C62" s="98">
        <v>0</v>
      </c>
      <c r="D62" s="98">
        <f>+C56+C55</f>
        <v>49194705</v>
      </c>
      <c r="E62" s="98" t="s">
        <v>163</v>
      </c>
      <c r="F62" s="98">
        <v>0</v>
      </c>
      <c r="G62" s="98">
        <f>+D62</f>
        <v>49194705</v>
      </c>
      <c r="H62" s="98">
        <v>0</v>
      </c>
      <c r="I62" s="98" t="s">
        <v>163</v>
      </c>
      <c r="J62" s="98" t="s">
        <v>163</v>
      </c>
      <c r="K62" s="98">
        <v>0</v>
      </c>
      <c r="L62" s="98">
        <f>+G62</f>
        <v>49194705</v>
      </c>
      <c r="M62" s="98">
        <f>+L62-H62</f>
        <v>49194705</v>
      </c>
      <c r="N62" s="3"/>
    </row>
    <row r="65" spans="2:13">
      <c r="B65" s="287" t="s">
        <v>251</v>
      </c>
      <c r="I65" s="27"/>
      <c r="J65" s="27"/>
      <c r="K65" s="27"/>
      <c r="L65" s="27"/>
      <c r="M65" s="27"/>
    </row>
    <row r="66" spans="2:13" s="87" customFormat="1">
      <c r="B66" s="1"/>
      <c r="I66" s="27"/>
      <c r="J66" s="27"/>
      <c r="K66" s="27"/>
      <c r="L66" s="27"/>
      <c r="M66" s="27"/>
    </row>
    <row r="67" spans="2:13" s="87" customFormat="1">
      <c r="B67" s="459" t="s">
        <v>408</v>
      </c>
      <c r="C67" s="459" t="s">
        <v>206</v>
      </c>
      <c r="D67" s="459" t="s">
        <v>233</v>
      </c>
    </row>
    <row r="68" spans="2:13" s="87" customFormat="1" ht="9.6" customHeight="1">
      <c r="B68" s="459"/>
      <c r="C68" s="459"/>
      <c r="D68" s="459"/>
    </row>
    <row r="69" spans="2:13" s="87" customFormat="1" ht="15.75">
      <c r="B69" s="142" t="s">
        <v>393</v>
      </c>
      <c r="C69" s="143">
        <v>511066648</v>
      </c>
      <c r="D69" s="143">
        <v>511066648</v>
      </c>
      <c r="E69" s="76">
        <v>15</v>
      </c>
      <c r="G69" s="22"/>
    </row>
    <row r="70" spans="2:13" s="87" customFormat="1" ht="15.75">
      <c r="B70" s="142"/>
      <c r="C70" s="143"/>
      <c r="D70" s="144"/>
      <c r="E70" s="76"/>
      <c r="G70" s="22"/>
    </row>
    <row r="71" spans="2:13" s="87" customFormat="1" ht="15.75">
      <c r="B71" s="142"/>
      <c r="C71" s="143">
        <f>SUM(C69:C70)</f>
        <v>511066648</v>
      </c>
      <c r="D71" s="143">
        <f>SUM(D69:D70)</f>
        <v>511066648</v>
      </c>
      <c r="E71" s="76"/>
      <c r="G71" s="22"/>
    </row>
    <row r="72" spans="2:13" ht="15" customHeight="1">
      <c r="B72" s="11"/>
      <c r="I72" s="27"/>
      <c r="J72" s="27"/>
      <c r="K72" s="27"/>
      <c r="L72" s="27"/>
      <c r="M72" s="27"/>
    </row>
    <row r="73" spans="2:13" ht="15.75" customHeight="1">
      <c r="I73" s="27"/>
      <c r="J73" s="27"/>
      <c r="K73" s="27"/>
      <c r="L73" s="27"/>
      <c r="M73" s="27"/>
    </row>
    <row r="74" spans="2:13">
      <c r="I74" s="27"/>
      <c r="J74" s="27"/>
      <c r="K74" s="27"/>
      <c r="L74" s="27"/>
      <c r="M74" s="27"/>
    </row>
    <row r="75" spans="2:13">
      <c r="I75" s="27"/>
      <c r="J75" s="27"/>
      <c r="K75" s="27"/>
      <c r="L75" s="27"/>
      <c r="M75" s="27"/>
    </row>
  </sheetData>
  <mergeCells count="37">
    <mergeCell ref="B4:E4"/>
    <mergeCell ref="B6:B7"/>
    <mergeCell ref="C6:C7"/>
    <mergeCell ref="D6:D7"/>
    <mergeCell ref="B16:D16"/>
    <mergeCell ref="B67:B68"/>
    <mergeCell ref="C67:C68"/>
    <mergeCell ref="D67:D68"/>
    <mergeCell ref="B18:F18"/>
    <mergeCell ref="B51:B54"/>
    <mergeCell ref="B44:B45"/>
    <mergeCell ref="G18:I18"/>
    <mergeCell ref="D19:D20"/>
    <mergeCell ref="E19:E20"/>
    <mergeCell ref="B24:D24"/>
    <mergeCell ref="F52:F54"/>
    <mergeCell ref="G52:G54"/>
    <mergeCell ref="C51:G51"/>
    <mergeCell ref="H52:H54"/>
    <mergeCell ref="I52:I54"/>
    <mergeCell ref="C44:C45"/>
    <mergeCell ref="D44:D45"/>
    <mergeCell ref="B25:D25"/>
    <mergeCell ref="B28:F28"/>
    <mergeCell ref="B34:F34"/>
    <mergeCell ref="B36:C36"/>
    <mergeCell ref="M52:M54"/>
    <mergeCell ref="B37:B38"/>
    <mergeCell ref="C37:C38"/>
    <mergeCell ref="D37:D38"/>
    <mergeCell ref="L52:L54"/>
    <mergeCell ref="H51:M51"/>
    <mergeCell ref="C52:C54"/>
    <mergeCell ref="D52:D54"/>
    <mergeCell ref="E52:E54"/>
    <mergeCell ref="J52:J54"/>
    <mergeCell ref="K52:K54"/>
  </mergeCells>
  <pageMargins left="0.70866141732283472" right="0.70866141732283472" top="0.74803149606299213" bottom="0.74803149606299213" header="0.31496062992125984" footer="0.31496062992125984"/>
  <pageSetup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CARATULA </vt:lpstr>
      <vt:lpstr>Información General</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'Notas 6-11'!_Hlk47083218</vt:lpstr>
      <vt:lpstr>'Notas a los EEFF'!Área_de_impresión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pc</cp:lastModifiedBy>
  <cp:lastPrinted>2022-03-23T14:26:34Z</cp:lastPrinted>
  <dcterms:created xsi:type="dcterms:W3CDTF">2020-08-05T19:03:26Z</dcterms:created>
  <dcterms:modified xsi:type="dcterms:W3CDTF">2022-08-16T19:23:34Z</dcterms:modified>
  <cp:contentStatus/>
</cp:coreProperties>
</file>